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codeName="{0111311B-0956-48F4-D2DB-CD56BCBECE7C}"/>
  <workbookPr showInkAnnotation="0" codeName="ThisWorkbook" defaultThemeVersion="124226"/>
  <mc:AlternateContent xmlns:mc="http://schemas.openxmlformats.org/markup-compatibility/2006">
    <mc:Choice Requires="x15">
      <x15ac:absPath xmlns:x15ac="http://schemas.microsoft.com/office/spreadsheetml/2010/11/ac" url="B:\6_praca\firmy\YourSpreadsheets\steel\beam\BS\free lite version\"/>
    </mc:Choice>
  </mc:AlternateContent>
  <xr:revisionPtr revIDLastSave="0" documentId="13_ncr:1_{9F98FA27-8512-4E13-9A8F-0BC69AED1F8E}" xr6:coauthVersionLast="43" xr6:coauthVersionMax="43" xr10:uidLastSave="{00000000-0000-0000-0000-000000000000}"/>
  <workbookProtection workbookPassword="CD8C" lockStructure="1"/>
  <bookViews>
    <workbookView xWindow="-120" yWindow="-120" windowWidth="29040" windowHeight="15840" activeTab="2" xr2:uid="{00000000-000D-0000-FFFF-FFFF00000000}"/>
  </bookViews>
  <sheets>
    <sheet name="steel" sheetId="6" r:id="rId1"/>
    <sheet name="calculations" sheetId="7" state="hidden" r:id="rId2"/>
    <sheet name="from author" sheetId="5" r:id="rId3"/>
  </sheets>
  <definedNames>
    <definedName name="_Le1">steel!$E$15</definedName>
    <definedName name="A">steel!$S$14</definedName>
    <definedName name="B">steel!$S$9</definedName>
    <definedName name="D">steel!$S$8</definedName>
    <definedName name="de">steel!$S$13</definedName>
    <definedName name="E">steel!$E$10</definedName>
    <definedName name="fy">steel!$E$9</definedName>
    <definedName name="H">steel!$AF$39</definedName>
    <definedName name="Ix">steel!$W$10</definedName>
    <definedName name="Iy">steel!$W$11</definedName>
    <definedName name="J">steel!$AF$38</definedName>
    <definedName name="Length1">steel!$E$12</definedName>
    <definedName name="LePUDL1">steel!$M$25</definedName>
    <definedName name="LePUDL2">steel!$M$26</definedName>
    <definedName name="mLT">steel!$AF$52</definedName>
    <definedName name="PLa1d">steel!$E$27</definedName>
    <definedName name="PLa1l">steel!$G$27</definedName>
    <definedName name="PLb1d">steel!$E$28</definedName>
    <definedName name="PLb1l">steel!$G$28</definedName>
    <definedName name="PosPLa1">steel!$K$27</definedName>
    <definedName name="PosPLb1">steel!$K$28</definedName>
    <definedName name="PosPUDL1">steel!$K$25</definedName>
    <definedName name="PosPUDL2">steel!$K$26</definedName>
    <definedName name="_xlnm.Print_Area" localSheetId="0">steel!$B$2:$Y$71</definedName>
    <definedName name="PUDL1d">steel!$E$25</definedName>
    <definedName name="PUDL1l">steel!$G$25</definedName>
    <definedName name="PUDL2d">steel!$E$26</definedName>
    <definedName name="PUDL2l">steel!$G$26</definedName>
    <definedName name="ra">steel!$S$12</definedName>
    <definedName name="RL1d">steel!$AJ$6</definedName>
    <definedName name="RL1l">steel!$AJ$7</definedName>
    <definedName name="RR1d">steel!$AK$6</definedName>
    <definedName name="RR1l">steel!$AK$7</definedName>
    <definedName name="rx">steel!$W$8</definedName>
    <definedName name="ry">steel!$W$9</definedName>
    <definedName name="Sx">steel!$W$14</definedName>
    <definedName name="Sy">steel!$W$15</definedName>
    <definedName name="Tf">steel!$S$11</definedName>
    <definedName name="tw">steel!$S$10</definedName>
    <definedName name="u">steel!$AF$41</definedName>
    <definedName name="UDL1d">steel!$AJ$14</definedName>
    <definedName name="UDL1l">steel!$G$24</definedName>
    <definedName name="v">steel!$AF$45</definedName>
    <definedName name="w">steel!$S$15</definedName>
    <definedName name="x">steel!$AF$40</definedName>
    <definedName name="Zx">steel!$W$12</definedName>
    <definedName name="Zy">steel!$W$13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Y37" i="7" l="1"/>
  <c r="CX37" i="7"/>
  <c r="CW37" i="7"/>
  <c r="CV37" i="7"/>
  <c r="CU37" i="7"/>
  <c r="CT37" i="7"/>
  <c r="CS37" i="7"/>
  <c r="CR37" i="7"/>
  <c r="CQ37" i="7"/>
  <c r="CP37" i="7"/>
  <c r="CO37" i="7"/>
  <c r="CN37" i="7"/>
  <c r="CM37" i="7"/>
  <c r="CL37" i="7"/>
  <c r="CK37" i="7"/>
  <c r="CJ37" i="7"/>
  <c r="CI37" i="7"/>
  <c r="CH37" i="7"/>
  <c r="CG37" i="7"/>
  <c r="CF37" i="7"/>
  <c r="CE37" i="7"/>
  <c r="CD37" i="7"/>
  <c r="CC37" i="7"/>
  <c r="CB37" i="7"/>
  <c r="CA37" i="7"/>
  <c r="BZ37" i="7"/>
  <c r="BY37" i="7"/>
  <c r="BX37" i="7"/>
  <c r="BW37" i="7"/>
  <c r="BV37" i="7"/>
  <c r="BU37" i="7"/>
  <c r="BT37" i="7"/>
  <c r="BS37"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Y64" i="7"/>
  <c r="CX64" i="7"/>
  <c r="CW64" i="7"/>
  <c r="CV64" i="7"/>
  <c r="CU64" i="7"/>
  <c r="CT64" i="7"/>
  <c r="CS64" i="7"/>
  <c r="CR64" i="7"/>
  <c r="CQ64" i="7"/>
  <c r="CP64" i="7"/>
  <c r="CO64" i="7"/>
  <c r="CN64" i="7"/>
  <c r="CM64" i="7"/>
  <c r="CL64" i="7"/>
  <c r="CK64" i="7"/>
  <c r="CJ64" i="7"/>
  <c r="CI64" i="7"/>
  <c r="CH64" i="7"/>
  <c r="CG64" i="7"/>
  <c r="CF64" i="7"/>
  <c r="CE64" i="7"/>
  <c r="CD64" i="7"/>
  <c r="CC64" i="7"/>
  <c r="CB64" i="7"/>
  <c r="CA64" i="7"/>
  <c r="BZ64" i="7"/>
  <c r="BY64" i="7"/>
  <c r="BX64" i="7"/>
  <c r="BW64" i="7"/>
  <c r="BV64" i="7"/>
  <c r="BU64" i="7"/>
  <c r="BT64" i="7"/>
  <c r="BS64"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CY35" i="7"/>
  <c r="CX35" i="7"/>
  <c r="CW35" i="7"/>
  <c r="CV35" i="7"/>
  <c r="CU35" i="7"/>
  <c r="CT35" i="7"/>
  <c r="CS35" i="7"/>
  <c r="CR35" i="7"/>
  <c r="CQ35" i="7"/>
  <c r="CP35" i="7"/>
  <c r="CO35" i="7"/>
  <c r="CN35" i="7"/>
  <c r="CM35" i="7"/>
  <c r="CL35" i="7"/>
  <c r="CK35" i="7"/>
  <c r="CJ35" i="7"/>
  <c r="CI35" i="7"/>
  <c r="CH35" i="7"/>
  <c r="CG35" i="7"/>
  <c r="CF35" i="7"/>
  <c r="CE35" i="7"/>
  <c r="CD35" i="7"/>
  <c r="CC35" i="7"/>
  <c r="CB35" i="7"/>
  <c r="CA35" i="7"/>
  <c r="BZ35" i="7"/>
  <c r="BY35" i="7"/>
  <c r="BX35" i="7"/>
  <c r="BW35" i="7"/>
  <c r="BV35" i="7"/>
  <c r="BU35" i="7"/>
  <c r="BT35" i="7"/>
  <c r="BS35" i="7"/>
  <c r="BR35"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D28" i="7"/>
  <c r="C28" i="7"/>
  <c r="D27" i="7"/>
  <c r="C27" i="7"/>
  <c r="AK7" i="6"/>
  <c r="AJ7" i="6" s="1"/>
  <c r="CY66" i="7"/>
  <c r="CX66" i="7"/>
  <c r="CW66" i="7"/>
  <c r="CV66" i="7"/>
  <c r="CU66" i="7"/>
  <c r="CT66" i="7"/>
  <c r="CS66" i="7"/>
  <c r="CR66" i="7"/>
  <c r="CQ66" i="7"/>
  <c r="CP66" i="7"/>
  <c r="CO66" i="7"/>
  <c r="CN66" i="7"/>
  <c r="CM66" i="7"/>
  <c r="CL66" i="7"/>
  <c r="CK66" i="7"/>
  <c r="CJ66" i="7"/>
  <c r="CI66" i="7"/>
  <c r="CH66" i="7"/>
  <c r="CG66" i="7"/>
  <c r="CF66" i="7"/>
  <c r="CE66" i="7"/>
  <c r="CD66" i="7"/>
  <c r="CC66" i="7"/>
  <c r="CB66" i="7"/>
  <c r="CA66" i="7"/>
  <c r="BZ66" i="7"/>
  <c r="BY66" i="7"/>
  <c r="BX66" i="7"/>
  <c r="BW66" i="7"/>
  <c r="BV66" i="7"/>
  <c r="BU66" i="7"/>
  <c r="BT66" i="7"/>
  <c r="BS66" i="7"/>
  <c r="BR66"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C66" i="7"/>
  <c r="CY51" i="7"/>
  <c r="CX51" i="7"/>
  <c r="CW51" i="7"/>
  <c r="CV51" i="7"/>
  <c r="CU51" i="7"/>
  <c r="CT51" i="7"/>
  <c r="CS51" i="7"/>
  <c r="CR51" i="7"/>
  <c r="CQ51" i="7"/>
  <c r="CP51" i="7"/>
  <c r="CO51" i="7"/>
  <c r="CN51" i="7"/>
  <c r="CM51" i="7"/>
  <c r="CL51" i="7"/>
  <c r="CK51" i="7"/>
  <c r="CJ51" i="7"/>
  <c r="CI51" i="7"/>
  <c r="CH51" i="7"/>
  <c r="CG51" i="7"/>
  <c r="CF51" i="7"/>
  <c r="CE51" i="7"/>
  <c r="CD51" i="7"/>
  <c r="CC51" i="7"/>
  <c r="CB51" i="7"/>
  <c r="CA51" i="7"/>
  <c r="BZ51" i="7"/>
  <c r="BY51" i="7"/>
  <c r="BX51" i="7"/>
  <c r="BW51" i="7"/>
  <c r="BV51" i="7"/>
  <c r="BU51" i="7"/>
  <c r="BT51"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F14" i="7"/>
  <c r="E14" i="7"/>
  <c r="AJ14" i="6"/>
  <c r="C23" i="7" s="1"/>
  <c r="H79" i="7"/>
  <c r="I79" i="7" s="1"/>
  <c r="J79" i="7" s="1"/>
  <c r="K79" i="7" s="1"/>
  <c r="L79" i="7" s="1"/>
  <c r="M79" i="7" s="1"/>
  <c r="N79" i="7" s="1"/>
  <c r="O79" i="7" s="1"/>
  <c r="P79" i="7" s="1"/>
  <c r="Q79" i="7" s="1"/>
  <c r="R79" i="7" s="1"/>
  <c r="S79" i="7" s="1"/>
  <c r="T79" i="7" s="1"/>
  <c r="U79" i="7" s="1"/>
  <c r="V79" i="7" s="1"/>
  <c r="W79" i="7" s="1"/>
  <c r="X79" i="7" s="1"/>
  <c r="Y79" i="7" s="1"/>
  <c r="Z79" i="7" s="1"/>
  <c r="AA79" i="7" s="1"/>
  <c r="AB79" i="7" s="1"/>
  <c r="AC79" i="7" s="1"/>
  <c r="AD79" i="7" s="1"/>
  <c r="AE79" i="7" s="1"/>
  <c r="AF79" i="7" s="1"/>
  <c r="AG79" i="7" s="1"/>
  <c r="AH79" i="7" s="1"/>
  <c r="AI79" i="7" s="1"/>
  <c r="AJ79" i="7" s="1"/>
  <c r="AK79" i="7" s="1"/>
  <c r="AL79" i="7" s="1"/>
  <c r="AM79" i="7" s="1"/>
  <c r="AN79" i="7" s="1"/>
  <c r="AO79" i="7" s="1"/>
  <c r="AP79" i="7" s="1"/>
  <c r="AQ79" i="7" s="1"/>
  <c r="AR79" i="7" s="1"/>
  <c r="AS79" i="7" s="1"/>
  <c r="AT79" i="7" s="1"/>
  <c r="AU79" i="7" s="1"/>
  <c r="AV79" i="7" s="1"/>
  <c r="AW79" i="7" s="1"/>
  <c r="AX79" i="7" s="1"/>
  <c r="AY79" i="7" s="1"/>
  <c r="AZ79" i="7" s="1"/>
  <c r="BA79" i="7" s="1"/>
  <c r="BB79" i="7" s="1"/>
  <c r="BC79" i="7" s="1"/>
  <c r="BD79" i="7" s="1"/>
  <c r="BE79" i="7" s="1"/>
  <c r="BF79" i="7" s="1"/>
  <c r="BG79" i="7" s="1"/>
  <c r="BH79" i="7" s="1"/>
  <c r="BI79" i="7" s="1"/>
  <c r="BJ79" i="7" s="1"/>
  <c r="BK79" i="7" s="1"/>
  <c r="BL79" i="7" s="1"/>
  <c r="BM79" i="7" s="1"/>
  <c r="BN79" i="7" s="1"/>
  <c r="BO79" i="7" s="1"/>
  <c r="BP79" i="7" s="1"/>
  <c r="BQ79" i="7" s="1"/>
  <c r="BR79" i="7" s="1"/>
  <c r="BS79" i="7" s="1"/>
  <c r="BT79" i="7" s="1"/>
  <c r="BU79" i="7" s="1"/>
  <c r="BV79" i="7" s="1"/>
  <c r="BW79" i="7" s="1"/>
  <c r="BX79" i="7" s="1"/>
  <c r="BY79" i="7" s="1"/>
  <c r="BZ79" i="7" s="1"/>
  <c r="CA79" i="7" s="1"/>
  <c r="CB79" i="7" s="1"/>
  <c r="CC79" i="7" s="1"/>
  <c r="CD79" i="7" s="1"/>
  <c r="CE79" i="7" s="1"/>
  <c r="CF79" i="7" s="1"/>
  <c r="CG79" i="7" s="1"/>
  <c r="CH79" i="7" s="1"/>
  <c r="CI79" i="7" s="1"/>
  <c r="CJ79" i="7" s="1"/>
  <c r="CK79" i="7" s="1"/>
  <c r="CL79" i="7" s="1"/>
  <c r="CM79" i="7" s="1"/>
  <c r="CN79" i="7" s="1"/>
  <c r="CO79" i="7" s="1"/>
  <c r="CP79" i="7" s="1"/>
  <c r="CQ79" i="7" s="1"/>
  <c r="CR79" i="7" s="1"/>
  <c r="CS79" i="7" s="1"/>
  <c r="CT79" i="7" s="1"/>
  <c r="CU79" i="7" s="1"/>
  <c r="CV79" i="7" s="1"/>
  <c r="CW79" i="7" s="1"/>
  <c r="CX79" i="7" s="1"/>
  <c r="CY79" i="7" s="1"/>
  <c r="D79" i="7"/>
  <c r="E79" i="7" s="1"/>
  <c r="F79" i="7" s="1"/>
  <c r="G79" i="7" s="1"/>
  <c r="E62" i="7"/>
  <c r="F62" i="7" s="1"/>
  <c r="G62" i="7" s="1"/>
  <c r="H62" i="7" s="1"/>
  <c r="I62" i="7" s="1"/>
  <c r="J62" i="7" s="1"/>
  <c r="K62" i="7" s="1"/>
  <c r="L62" i="7" s="1"/>
  <c r="M62" i="7" s="1"/>
  <c r="N62" i="7" s="1"/>
  <c r="O62" i="7" s="1"/>
  <c r="P62" i="7" s="1"/>
  <c r="Q62" i="7" s="1"/>
  <c r="R62" i="7" s="1"/>
  <c r="S62" i="7" s="1"/>
  <c r="T62" i="7" s="1"/>
  <c r="U62" i="7" s="1"/>
  <c r="V62" i="7" s="1"/>
  <c r="W62" i="7" s="1"/>
  <c r="X62" i="7" s="1"/>
  <c r="Y62" i="7" s="1"/>
  <c r="Z62" i="7" s="1"/>
  <c r="AA62" i="7" s="1"/>
  <c r="AB62" i="7" s="1"/>
  <c r="AC62" i="7" s="1"/>
  <c r="AD62" i="7" s="1"/>
  <c r="AE62" i="7" s="1"/>
  <c r="AF62" i="7" s="1"/>
  <c r="AG62" i="7" s="1"/>
  <c r="AH62" i="7" s="1"/>
  <c r="AI62" i="7" s="1"/>
  <c r="AJ62" i="7" s="1"/>
  <c r="AK62" i="7" s="1"/>
  <c r="AL62" i="7" s="1"/>
  <c r="AM62" i="7" s="1"/>
  <c r="AN62" i="7" s="1"/>
  <c r="AO62" i="7" s="1"/>
  <c r="AP62" i="7" s="1"/>
  <c r="AQ62" i="7" s="1"/>
  <c r="AR62" i="7" s="1"/>
  <c r="AS62" i="7" s="1"/>
  <c r="AT62" i="7" s="1"/>
  <c r="AU62" i="7" s="1"/>
  <c r="AV62" i="7" s="1"/>
  <c r="AW62" i="7" s="1"/>
  <c r="AX62" i="7" s="1"/>
  <c r="AY62" i="7" s="1"/>
  <c r="AZ62" i="7" s="1"/>
  <c r="BA62" i="7" s="1"/>
  <c r="BB62" i="7" s="1"/>
  <c r="BC62" i="7" s="1"/>
  <c r="BD62" i="7" s="1"/>
  <c r="BE62" i="7" s="1"/>
  <c r="BF62" i="7" s="1"/>
  <c r="BG62" i="7" s="1"/>
  <c r="BH62" i="7" s="1"/>
  <c r="BI62" i="7" s="1"/>
  <c r="BJ62" i="7" s="1"/>
  <c r="BK62" i="7" s="1"/>
  <c r="BL62" i="7" s="1"/>
  <c r="BM62" i="7" s="1"/>
  <c r="BN62" i="7" s="1"/>
  <c r="BO62" i="7" s="1"/>
  <c r="BP62" i="7" s="1"/>
  <c r="BQ62" i="7" s="1"/>
  <c r="BR62" i="7" s="1"/>
  <c r="BS62" i="7" s="1"/>
  <c r="BT62" i="7" s="1"/>
  <c r="BU62" i="7" s="1"/>
  <c r="BV62" i="7" s="1"/>
  <c r="BW62" i="7" s="1"/>
  <c r="BX62" i="7" s="1"/>
  <c r="BY62" i="7" s="1"/>
  <c r="BZ62" i="7" s="1"/>
  <c r="CA62" i="7" s="1"/>
  <c r="CB62" i="7" s="1"/>
  <c r="CC62" i="7" s="1"/>
  <c r="CD62" i="7" s="1"/>
  <c r="CE62" i="7" s="1"/>
  <c r="CF62" i="7" s="1"/>
  <c r="CG62" i="7" s="1"/>
  <c r="CH62" i="7" s="1"/>
  <c r="CI62" i="7" s="1"/>
  <c r="CJ62" i="7" s="1"/>
  <c r="CK62" i="7" s="1"/>
  <c r="CL62" i="7" s="1"/>
  <c r="CM62" i="7" s="1"/>
  <c r="CN62" i="7" s="1"/>
  <c r="CO62" i="7" s="1"/>
  <c r="CP62" i="7" s="1"/>
  <c r="CQ62" i="7" s="1"/>
  <c r="CR62" i="7" s="1"/>
  <c r="CS62" i="7" s="1"/>
  <c r="CT62" i="7" s="1"/>
  <c r="CU62" i="7" s="1"/>
  <c r="CV62" i="7" s="1"/>
  <c r="CW62" i="7" s="1"/>
  <c r="CX62" i="7" s="1"/>
  <c r="CY62" i="7" s="1"/>
  <c r="D62" i="7"/>
  <c r="F47" i="7"/>
  <c r="G47" i="7" s="1"/>
  <c r="H47" i="7" s="1"/>
  <c r="I47" i="7" s="1"/>
  <c r="J47" i="7" s="1"/>
  <c r="K47" i="7" s="1"/>
  <c r="L47" i="7" s="1"/>
  <c r="M47" i="7" s="1"/>
  <c r="N47" i="7" s="1"/>
  <c r="O47" i="7" s="1"/>
  <c r="P47" i="7" s="1"/>
  <c r="Q47" i="7" s="1"/>
  <c r="R47" i="7" s="1"/>
  <c r="S47" i="7" s="1"/>
  <c r="T47" i="7" s="1"/>
  <c r="U47" i="7" s="1"/>
  <c r="V47" i="7" s="1"/>
  <c r="W47" i="7" s="1"/>
  <c r="X47" i="7" s="1"/>
  <c r="Y47" i="7" s="1"/>
  <c r="Z47" i="7" s="1"/>
  <c r="AA47" i="7" s="1"/>
  <c r="AB47" i="7" s="1"/>
  <c r="AC47" i="7" s="1"/>
  <c r="AD47" i="7" s="1"/>
  <c r="AE47" i="7" s="1"/>
  <c r="AF47" i="7" s="1"/>
  <c r="AG47" i="7" s="1"/>
  <c r="AH47" i="7" s="1"/>
  <c r="AI47" i="7" s="1"/>
  <c r="AJ47" i="7" s="1"/>
  <c r="AK47" i="7" s="1"/>
  <c r="AL47" i="7" s="1"/>
  <c r="AM47" i="7" s="1"/>
  <c r="AN47" i="7" s="1"/>
  <c r="AO47" i="7" s="1"/>
  <c r="AP47" i="7" s="1"/>
  <c r="AQ47" i="7" s="1"/>
  <c r="AR47" i="7" s="1"/>
  <c r="AS47" i="7" s="1"/>
  <c r="AT47" i="7" s="1"/>
  <c r="AU47" i="7" s="1"/>
  <c r="AV47" i="7" s="1"/>
  <c r="AW47" i="7" s="1"/>
  <c r="AX47" i="7" s="1"/>
  <c r="AY47" i="7" s="1"/>
  <c r="AZ47" i="7" s="1"/>
  <c r="BA47" i="7" s="1"/>
  <c r="BB47" i="7" s="1"/>
  <c r="BC47" i="7" s="1"/>
  <c r="BD47" i="7" s="1"/>
  <c r="BE47" i="7" s="1"/>
  <c r="BF47" i="7" s="1"/>
  <c r="BG47" i="7" s="1"/>
  <c r="BH47" i="7" s="1"/>
  <c r="BI47" i="7" s="1"/>
  <c r="BJ47" i="7" s="1"/>
  <c r="BK47" i="7" s="1"/>
  <c r="BL47" i="7" s="1"/>
  <c r="BM47" i="7" s="1"/>
  <c r="BN47" i="7" s="1"/>
  <c r="BO47" i="7" s="1"/>
  <c r="BP47" i="7" s="1"/>
  <c r="BQ47" i="7" s="1"/>
  <c r="BR47" i="7" s="1"/>
  <c r="BS47" i="7" s="1"/>
  <c r="BT47" i="7" s="1"/>
  <c r="BU47" i="7" s="1"/>
  <c r="BV47" i="7" s="1"/>
  <c r="BW47" i="7" s="1"/>
  <c r="BX47" i="7" s="1"/>
  <c r="BY47" i="7" s="1"/>
  <c r="BZ47" i="7" s="1"/>
  <c r="CA47" i="7" s="1"/>
  <c r="CB47" i="7" s="1"/>
  <c r="CC47" i="7" s="1"/>
  <c r="CD47" i="7" s="1"/>
  <c r="CE47" i="7" s="1"/>
  <c r="CF47" i="7" s="1"/>
  <c r="CG47" i="7" s="1"/>
  <c r="CH47" i="7" s="1"/>
  <c r="CI47" i="7" s="1"/>
  <c r="CJ47" i="7" s="1"/>
  <c r="CK47" i="7" s="1"/>
  <c r="CL47" i="7" s="1"/>
  <c r="CM47" i="7" s="1"/>
  <c r="CN47" i="7" s="1"/>
  <c r="CO47" i="7" s="1"/>
  <c r="CP47" i="7" s="1"/>
  <c r="CQ47" i="7" s="1"/>
  <c r="CR47" i="7" s="1"/>
  <c r="CS47" i="7" s="1"/>
  <c r="CT47" i="7" s="1"/>
  <c r="CU47" i="7" s="1"/>
  <c r="CV47" i="7" s="1"/>
  <c r="CW47" i="7" s="1"/>
  <c r="CX47" i="7" s="1"/>
  <c r="CY47" i="7" s="1"/>
  <c r="E47" i="7"/>
  <c r="D47" i="7"/>
  <c r="F33" i="7"/>
  <c r="G33" i="7" s="1"/>
  <c r="H33" i="7" s="1"/>
  <c r="I33" i="7" s="1"/>
  <c r="J33" i="7" s="1"/>
  <c r="K33" i="7" s="1"/>
  <c r="L33" i="7" s="1"/>
  <c r="M33" i="7" s="1"/>
  <c r="N33" i="7" s="1"/>
  <c r="O33" i="7" s="1"/>
  <c r="P33" i="7" s="1"/>
  <c r="Q33" i="7" s="1"/>
  <c r="R33" i="7" s="1"/>
  <c r="S33" i="7" s="1"/>
  <c r="T33" i="7" s="1"/>
  <c r="U33" i="7" s="1"/>
  <c r="V33" i="7" s="1"/>
  <c r="W33" i="7" s="1"/>
  <c r="X33" i="7" s="1"/>
  <c r="Y33" i="7" s="1"/>
  <c r="Z33" i="7" s="1"/>
  <c r="AA33" i="7" s="1"/>
  <c r="AB33" i="7" s="1"/>
  <c r="AC33" i="7" s="1"/>
  <c r="AD33" i="7" s="1"/>
  <c r="AE33" i="7" s="1"/>
  <c r="AF33" i="7" s="1"/>
  <c r="AG33" i="7" s="1"/>
  <c r="AH33" i="7" s="1"/>
  <c r="AI33" i="7" s="1"/>
  <c r="AJ33" i="7" s="1"/>
  <c r="AK33" i="7" s="1"/>
  <c r="AL33" i="7" s="1"/>
  <c r="AM33" i="7" s="1"/>
  <c r="AN33" i="7" s="1"/>
  <c r="AO33" i="7" s="1"/>
  <c r="AP33" i="7" s="1"/>
  <c r="AQ33" i="7" s="1"/>
  <c r="AR33" i="7" s="1"/>
  <c r="AS33" i="7" s="1"/>
  <c r="AT33" i="7" s="1"/>
  <c r="AU33" i="7" s="1"/>
  <c r="AV33" i="7" s="1"/>
  <c r="AW33" i="7" s="1"/>
  <c r="AX33" i="7" s="1"/>
  <c r="AY33" i="7" s="1"/>
  <c r="AZ33" i="7" s="1"/>
  <c r="BA33" i="7" s="1"/>
  <c r="BB33" i="7" s="1"/>
  <c r="BC33" i="7" s="1"/>
  <c r="BD33" i="7" s="1"/>
  <c r="BE33" i="7" s="1"/>
  <c r="BF33" i="7" s="1"/>
  <c r="BG33" i="7" s="1"/>
  <c r="BH33" i="7" s="1"/>
  <c r="BI33" i="7" s="1"/>
  <c r="BJ33" i="7" s="1"/>
  <c r="BK33" i="7" s="1"/>
  <c r="BL33" i="7" s="1"/>
  <c r="BM33" i="7" s="1"/>
  <c r="BN33" i="7" s="1"/>
  <c r="BO33" i="7" s="1"/>
  <c r="BP33" i="7" s="1"/>
  <c r="BQ33" i="7" s="1"/>
  <c r="BR33" i="7" s="1"/>
  <c r="BS33" i="7" s="1"/>
  <c r="BT33" i="7" s="1"/>
  <c r="BU33" i="7" s="1"/>
  <c r="BV33" i="7" s="1"/>
  <c r="BW33" i="7" s="1"/>
  <c r="BX33" i="7" s="1"/>
  <c r="BY33" i="7" s="1"/>
  <c r="BZ33" i="7" s="1"/>
  <c r="CA33" i="7" s="1"/>
  <c r="CB33" i="7" s="1"/>
  <c r="CC33" i="7" s="1"/>
  <c r="CD33" i="7" s="1"/>
  <c r="CE33" i="7" s="1"/>
  <c r="CF33" i="7" s="1"/>
  <c r="CG33" i="7" s="1"/>
  <c r="CH33" i="7" s="1"/>
  <c r="CI33" i="7" s="1"/>
  <c r="CJ33" i="7" s="1"/>
  <c r="CK33" i="7" s="1"/>
  <c r="CL33" i="7" s="1"/>
  <c r="CM33" i="7" s="1"/>
  <c r="CN33" i="7" s="1"/>
  <c r="CO33" i="7" s="1"/>
  <c r="CP33" i="7" s="1"/>
  <c r="CQ33" i="7" s="1"/>
  <c r="CR33" i="7" s="1"/>
  <c r="CS33" i="7" s="1"/>
  <c r="CT33" i="7" s="1"/>
  <c r="CU33" i="7" s="1"/>
  <c r="CV33" i="7" s="1"/>
  <c r="CW33" i="7" s="1"/>
  <c r="CX33" i="7" s="1"/>
  <c r="CY33" i="7" s="1"/>
  <c r="E33" i="7"/>
  <c r="D33" i="7"/>
  <c r="E7" i="7"/>
  <c r="D4" i="7"/>
  <c r="I68" i="6"/>
  <c r="I63" i="6"/>
  <c r="F12" i="7" l="1"/>
  <c r="D12" i="7"/>
  <c r="E15" i="7"/>
  <c r="E16" i="7"/>
  <c r="E19" i="7"/>
  <c r="E20" i="7"/>
  <c r="C24" i="7"/>
  <c r="C12" i="7"/>
  <c r="D15" i="7"/>
  <c r="D19" i="7"/>
  <c r="D23" i="7"/>
  <c r="C9" i="7"/>
  <c r="E12" i="7"/>
  <c r="F15" i="7"/>
  <c r="F16" i="7"/>
  <c r="F19" i="7"/>
  <c r="F20" i="7"/>
  <c r="D24" i="7"/>
  <c r="F10" i="7"/>
  <c r="D16" i="7"/>
  <c r="D20" i="7"/>
  <c r="AK6" i="6"/>
  <c r="AJ6" i="6" s="1"/>
  <c r="CX36" i="7" s="1"/>
  <c r="E10" i="7"/>
  <c r="C15" i="7"/>
  <c r="C16" i="7"/>
  <c r="C19" i="7"/>
  <c r="C20" i="7"/>
  <c r="G34" i="7"/>
  <c r="W34" i="7"/>
  <c r="AM34" i="7"/>
  <c r="AY34" i="7"/>
  <c r="BK34" i="7"/>
  <c r="BS34" i="7"/>
  <c r="CE34" i="7"/>
  <c r="CQ34" i="7"/>
  <c r="CY34" i="7"/>
  <c r="K36" i="7"/>
  <c r="O36" i="7"/>
  <c r="S36" i="7"/>
  <c r="AA36" i="7"/>
  <c r="AE36" i="7"/>
  <c r="AI36" i="7"/>
  <c r="AQ36" i="7"/>
  <c r="AU36" i="7"/>
  <c r="AY36" i="7"/>
  <c r="BC36" i="7"/>
  <c r="BG36" i="7"/>
  <c r="BK36" i="7"/>
  <c r="BO36" i="7"/>
  <c r="BS36" i="7"/>
  <c r="BW36" i="7"/>
  <c r="CA36" i="7"/>
  <c r="CE36" i="7"/>
  <c r="CI36" i="7"/>
  <c r="CM36" i="7"/>
  <c r="CQ36" i="7"/>
  <c r="CU36" i="7"/>
  <c r="CY36" i="7"/>
  <c r="D34" i="7"/>
  <c r="H34" i="7"/>
  <c r="L34" i="7"/>
  <c r="P34" i="7"/>
  <c r="T34" i="7"/>
  <c r="X34" i="7"/>
  <c r="AB34" i="7"/>
  <c r="AF34" i="7"/>
  <c r="AJ34" i="7"/>
  <c r="AN34" i="7"/>
  <c r="AR34" i="7"/>
  <c r="AV34" i="7"/>
  <c r="AZ34" i="7"/>
  <c r="BD34" i="7"/>
  <c r="BH34" i="7"/>
  <c r="BL34" i="7"/>
  <c r="BP34" i="7"/>
  <c r="BT34" i="7"/>
  <c r="BX34" i="7"/>
  <c r="CB34" i="7"/>
  <c r="CF34" i="7"/>
  <c r="CJ34" i="7"/>
  <c r="CN34" i="7"/>
  <c r="CR34" i="7"/>
  <c r="CV34" i="7"/>
  <c r="D36" i="7"/>
  <c r="H36" i="7"/>
  <c r="L36" i="7"/>
  <c r="P36" i="7"/>
  <c r="T36" i="7"/>
  <c r="X36" i="7"/>
  <c r="AB36" i="7"/>
  <c r="AF36" i="7"/>
  <c r="AJ36" i="7"/>
  <c r="AN36" i="7"/>
  <c r="AR36" i="7"/>
  <c r="AV36" i="7"/>
  <c r="AZ36" i="7"/>
  <c r="BD36" i="7"/>
  <c r="BH36" i="7"/>
  <c r="BL36" i="7"/>
  <c r="BP36" i="7"/>
  <c r="BT36" i="7"/>
  <c r="BX36" i="7"/>
  <c r="CB36" i="7"/>
  <c r="CF36" i="7"/>
  <c r="CJ36" i="7"/>
  <c r="CN36" i="7"/>
  <c r="CR36" i="7"/>
  <c r="CV36" i="7"/>
  <c r="E34" i="7"/>
  <c r="I34" i="7"/>
  <c r="M34" i="7"/>
  <c r="Q34" i="7"/>
  <c r="U34" i="7"/>
  <c r="Y34" i="7"/>
  <c r="AC34" i="7"/>
  <c r="AG34" i="7"/>
  <c r="AK34" i="7"/>
  <c r="AO34" i="7"/>
  <c r="AS34" i="7"/>
  <c r="AW34" i="7"/>
  <c r="BA34" i="7"/>
  <c r="BE34" i="7"/>
  <c r="BI34" i="7"/>
  <c r="BM34" i="7"/>
  <c r="BQ34" i="7"/>
  <c r="BU34" i="7"/>
  <c r="BY34" i="7"/>
  <c r="CC34" i="7"/>
  <c r="CG34" i="7"/>
  <c r="CK34" i="7"/>
  <c r="CO34" i="7"/>
  <c r="CS34" i="7"/>
  <c r="CW34" i="7"/>
  <c r="E36" i="7"/>
  <c r="I36" i="7"/>
  <c r="M36" i="7"/>
  <c r="Q36" i="7"/>
  <c r="U36" i="7"/>
  <c r="Y36" i="7"/>
  <c r="AC36" i="7"/>
  <c r="AG36" i="7"/>
  <c r="AK36" i="7"/>
  <c r="AO36" i="7"/>
  <c r="AS36" i="7"/>
  <c r="AW36" i="7"/>
  <c r="BA36" i="7"/>
  <c r="BE36" i="7"/>
  <c r="BI36" i="7"/>
  <c r="BM36" i="7"/>
  <c r="BQ36" i="7"/>
  <c r="BU36" i="7"/>
  <c r="BY36" i="7"/>
  <c r="CC36" i="7"/>
  <c r="CG36" i="7"/>
  <c r="CK36" i="7"/>
  <c r="CO36" i="7"/>
  <c r="CS36" i="7"/>
  <c r="CW36" i="7"/>
  <c r="F34" i="7"/>
  <c r="J34" i="7"/>
  <c r="N34" i="7"/>
  <c r="R34" i="7"/>
  <c r="V34" i="7"/>
  <c r="Z34" i="7"/>
  <c r="AD34" i="7"/>
  <c r="AH34" i="7"/>
  <c r="AL34" i="7"/>
  <c r="AP34" i="7"/>
  <c r="AT34" i="7"/>
  <c r="AX34" i="7"/>
  <c r="BB34" i="7"/>
  <c r="BF34" i="7"/>
  <c r="BJ34" i="7"/>
  <c r="BN34" i="7"/>
  <c r="BR34" i="7"/>
  <c r="BV34" i="7"/>
  <c r="BZ34" i="7"/>
  <c r="CD34" i="7"/>
  <c r="CH34" i="7"/>
  <c r="CL34" i="7"/>
  <c r="CP34" i="7"/>
  <c r="CT34" i="7"/>
  <c r="CX34" i="7"/>
  <c r="F36" i="7"/>
  <c r="J36" i="7"/>
  <c r="N36" i="7"/>
  <c r="R36" i="7"/>
  <c r="V36" i="7"/>
  <c r="Z36" i="7"/>
  <c r="AD36" i="7"/>
  <c r="AH36" i="7"/>
  <c r="AL36" i="7"/>
  <c r="AP36" i="7"/>
  <c r="AT36" i="7"/>
  <c r="AX36" i="7"/>
  <c r="BB36" i="7"/>
  <c r="BF36" i="7"/>
  <c r="BJ36" i="7"/>
  <c r="BN36" i="7"/>
  <c r="BR36" i="7"/>
  <c r="BV36" i="7"/>
  <c r="BZ36" i="7"/>
  <c r="CD36" i="7"/>
  <c r="CH36" i="7"/>
  <c r="CL36" i="7"/>
  <c r="CP36" i="7"/>
  <c r="CT36" i="7"/>
  <c r="I8" i="6"/>
  <c r="CU34" i="7" l="1"/>
  <c r="CA34" i="7"/>
  <c r="BC34" i="7"/>
  <c r="AE34" i="7"/>
  <c r="AM36" i="7"/>
  <c r="W36" i="7"/>
  <c r="G36" i="7"/>
  <c r="CI34" i="7"/>
  <c r="BO34" i="7"/>
  <c r="AU34" i="7"/>
  <c r="O34" i="7"/>
  <c r="AI34" i="7"/>
  <c r="S34" i="7"/>
  <c r="CM34" i="7"/>
  <c r="BW34" i="7"/>
  <c r="BG34" i="7"/>
  <c r="AQ34" i="7"/>
  <c r="AA34" i="7"/>
  <c r="K34" i="7"/>
  <c r="AF41" i="6"/>
  <c r="AG14" i="6" l="1"/>
  <c r="AF52" i="6" s="1"/>
  <c r="AG64" i="6"/>
  <c r="AH64" i="6" s="1"/>
  <c r="AF40" i="6"/>
  <c r="AF39" i="6"/>
  <c r="AF38" i="6"/>
  <c r="W15" i="6"/>
  <c r="W14" i="6"/>
  <c r="W13" i="6"/>
  <c r="W12" i="6"/>
  <c r="W11" i="6"/>
  <c r="W10" i="6"/>
  <c r="W9" i="6"/>
  <c r="AF44" i="6" s="1"/>
  <c r="W8" i="6"/>
  <c r="S15" i="6"/>
  <c r="S14" i="6"/>
  <c r="S13" i="6"/>
  <c r="S12" i="6"/>
  <c r="S11" i="6"/>
  <c r="S10" i="6"/>
  <c r="S9" i="6"/>
  <c r="S8" i="6"/>
  <c r="D7" i="7"/>
  <c r="F7" i="7"/>
  <c r="C14" i="7"/>
  <c r="D14" i="7"/>
  <c r="C18" i="7"/>
  <c r="D18" i="7"/>
  <c r="E18" i="7"/>
  <c r="F18" i="7"/>
  <c r="C22" i="7"/>
  <c r="D22" i="7"/>
  <c r="C26" i="7"/>
  <c r="D26" i="7"/>
  <c r="D55" i="7"/>
  <c r="C50" i="7"/>
  <c r="C52" i="7"/>
  <c r="C53" i="7"/>
  <c r="C54" i="7"/>
  <c r="C55" i="7"/>
  <c r="C65" i="7"/>
  <c r="C67" i="7"/>
  <c r="C68" i="7"/>
  <c r="C69" i="7"/>
  <c r="C70" i="7"/>
  <c r="C80" i="7"/>
  <c r="C81" i="7"/>
  <c r="W5" i="6"/>
  <c r="AG15" i="6"/>
  <c r="D67" i="7"/>
  <c r="C37" i="7"/>
  <c r="D68" i="7"/>
  <c r="D54" i="7" l="1"/>
  <c r="E50" i="7"/>
  <c r="E53" i="7"/>
  <c r="AF45" i="6"/>
  <c r="AG19" i="6"/>
  <c r="AG8" i="6"/>
  <c r="AG10" i="6" s="1"/>
  <c r="AG18" i="6"/>
  <c r="AG7" i="6"/>
  <c r="D49" i="7"/>
  <c r="S38" i="6"/>
  <c r="C8" i="7"/>
  <c r="E8" i="7" s="1"/>
  <c r="AG6" i="6"/>
  <c r="C63" i="7"/>
  <c r="T36" i="6"/>
  <c r="E67" i="7"/>
  <c r="E68" i="7"/>
  <c r="E65" i="7"/>
  <c r="D70" i="7"/>
  <c r="D53" i="7"/>
  <c r="D63" i="7"/>
  <c r="D52" i="7"/>
  <c r="D69" i="7"/>
  <c r="E63" i="7"/>
  <c r="E55" i="7"/>
  <c r="D50" i="7"/>
  <c r="D65" i="7"/>
  <c r="T35" i="6"/>
  <c r="T37" i="6"/>
  <c r="D11" i="7"/>
  <c r="C49" i="7"/>
  <c r="E49" i="7"/>
  <c r="E11" i="7"/>
  <c r="E70" i="7"/>
  <c r="E69" i="7"/>
  <c r="E54" i="7"/>
  <c r="T38" i="6"/>
  <c r="E52" i="7"/>
  <c r="E9" i="6" l="1"/>
  <c r="AF22" i="6" s="1"/>
  <c r="I55" i="6" s="1"/>
  <c r="U38" i="6"/>
  <c r="S36" i="6"/>
  <c r="U36" i="6" s="1"/>
  <c r="F52" i="7"/>
  <c r="F53" i="7"/>
  <c r="F50" i="7"/>
  <c r="F55" i="7"/>
  <c r="F49" i="7"/>
  <c r="F54" i="7"/>
  <c r="F69" i="7"/>
  <c r="F70" i="7"/>
  <c r="F68" i="7"/>
  <c r="F65" i="7"/>
  <c r="F67" i="7"/>
  <c r="G50" i="7"/>
  <c r="G55" i="7"/>
  <c r="G54" i="7"/>
  <c r="G52" i="7"/>
  <c r="G53" i="7"/>
  <c r="G49" i="7"/>
  <c r="F63" i="7"/>
  <c r="AG17" i="6" l="1"/>
  <c r="AH19" i="6" s="1"/>
  <c r="AJ30" i="6"/>
  <c r="AF47" i="6"/>
  <c r="H80" i="7"/>
  <c r="D48" i="7"/>
  <c r="G48" i="7"/>
  <c r="S37" i="6"/>
  <c r="U37" i="6" s="1"/>
  <c r="F48" i="7"/>
  <c r="D82" i="7"/>
  <c r="D81" i="7"/>
  <c r="C36" i="7"/>
  <c r="C83" i="7" s="1"/>
  <c r="C48" i="7"/>
  <c r="H48" i="7"/>
  <c r="F80" i="7"/>
  <c r="E48" i="7"/>
  <c r="E82" i="7"/>
  <c r="G82" i="7"/>
  <c r="F82" i="7"/>
  <c r="G81" i="7"/>
  <c r="S35" i="6"/>
  <c r="U35" i="6" s="1"/>
  <c r="H82" i="7"/>
  <c r="E80" i="7"/>
  <c r="E81" i="7"/>
  <c r="G67" i="7"/>
  <c r="G70" i="7"/>
  <c r="G68" i="7"/>
  <c r="G69" i="7"/>
  <c r="G63" i="7"/>
  <c r="G65" i="7"/>
  <c r="H55" i="7"/>
  <c r="H52" i="7"/>
  <c r="H53" i="7"/>
  <c r="H54" i="7"/>
  <c r="H50" i="7"/>
  <c r="H49" i="7"/>
  <c r="AJ19" i="6" l="1"/>
  <c r="AH18" i="6"/>
  <c r="AJ18" i="6"/>
  <c r="AI19" i="6"/>
  <c r="AI18" i="6"/>
  <c r="I81" i="7"/>
  <c r="I83" i="7"/>
  <c r="G83" i="7"/>
  <c r="E83" i="7"/>
  <c r="H81" i="7"/>
  <c r="D83" i="7"/>
  <c r="G80" i="7"/>
  <c r="F81" i="7"/>
  <c r="D80" i="7"/>
  <c r="C82" i="7"/>
  <c r="F83" i="7"/>
  <c r="I82" i="7"/>
  <c r="H83" i="7"/>
  <c r="I80" i="7"/>
  <c r="H68" i="7"/>
  <c r="H65" i="7"/>
  <c r="H69" i="7"/>
  <c r="H67" i="7"/>
  <c r="H63" i="7"/>
  <c r="H70" i="7"/>
  <c r="I52" i="7"/>
  <c r="I53" i="7"/>
  <c r="I50" i="7"/>
  <c r="I55" i="7"/>
  <c r="I54" i="7"/>
  <c r="I49" i="7"/>
  <c r="I48" i="7"/>
  <c r="AL19" i="6" l="1"/>
  <c r="AL18" i="6"/>
  <c r="AL20" i="6" s="1"/>
  <c r="AF43" i="6" s="1"/>
  <c r="AF46" i="6" s="1"/>
  <c r="J81" i="7"/>
  <c r="J80" i="7"/>
  <c r="J82" i="7"/>
  <c r="J83" i="7"/>
  <c r="J50" i="7"/>
  <c r="J55" i="7"/>
  <c r="J53" i="7"/>
  <c r="J52" i="7"/>
  <c r="J54" i="7"/>
  <c r="J49" i="7"/>
  <c r="J48" i="7"/>
  <c r="I65" i="7"/>
  <c r="I69" i="7"/>
  <c r="I67" i="7"/>
  <c r="I63" i="7"/>
  <c r="I70" i="7"/>
  <c r="I68" i="7"/>
  <c r="AF49" i="6" l="1"/>
  <c r="C48" i="6"/>
  <c r="AF48" i="6"/>
  <c r="H10" i="6"/>
  <c r="K81" i="7"/>
  <c r="K80" i="7"/>
  <c r="K83" i="7"/>
  <c r="K82" i="7"/>
  <c r="K54" i="7"/>
  <c r="K50" i="7"/>
  <c r="K52" i="7"/>
  <c r="K55" i="7"/>
  <c r="K53" i="7"/>
  <c r="K49" i="7"/>
  <c r="K48" i="7"/>
  <c r="J63" i="7"/>
  <c r="J70" i="7"/>
  <c r="J69" i="7"/>
  <c r="J67" i="7"/>
  <c r="J65" i="7"/>
  <c r="J68" i="7"/>
  <c r="AF50" i="6" l="1"/>
  <c r="AF51" i="6" s="1"/>
  <c r="L80" i="7"/>
  <c r="L81" i="7"/>
  <c r="L83" i="7"/>
  <c r="L82" i="7"/>
  <c r="K63" i="7"/>
  <c r="K65" i="7"/>
  <c r="K68" i="7"/>
  <c r="K69" i="7"/>
  <c r="K67" i="7"/>
  <c r="K70" i="7"/>
  <c r="L52" i="7"/>
  <c r="L55" i="7"/>
  <c r="L50" i="7"/>
  <c r="L54" i="7"/>
  <c r="L53" i="7"/>
  <c r="L49" i="7"/>
  <c r="L48" i="7"/>
  <c r="AF56" i="6" l="1"/>
  <c r="AG56" i="6" s="1"/>
  <c r="AH56" i="6"/>
  <c r="M81" i="7"/>
  <c r="M80" i="7"/>
  <c r="M82" i="7"/>
  <c r="M83" i="7"/>
  <c r="L65" i="7"/>
  <c r="L67" i="7"/>
  <c r="L69" i="7"/>
  <c r="L63" i="7"/>
  <c r="L68" i="7"/>
  <c r="L70" i="7"/>
  <c r="M52" i="7"/>
  <c r="M50" i="7"/>
  <c r="M53" i="7"/>
  <c r="M54" i="7"/>
  <c r="M55" i="7"/>
  <c r="M49" i="7"/>
  <c r="M48" i="7"/>
  <c r="AJ56" i="6"/>
  <c r="I49" i="6" s="1"/>
  <c r="K49" i="6" s="1"/>
  <c r="N80" i="7" l="1"/>
  <c r="N82" i="7"/>
  <c r="N81" i="7"/>
  <c r="N83" i="7"/>
  <c r="N55" i="7"/>
  <c r="N49" i="7"/>
  <c r="N53" i="7"/>
  <c r="N50" i="7"/>
  <c r="N52" i="7"/>
  <c r="N54" i="7"/>
  <c r="N48" i="7"/>
  <c r="M68" i="7"/>
  <c r="M70" i="7"/>
  <c r="M67" i="7"/>
  <c r="M69" i="7"/>
  <c r="M65" i="7"/>
  <c r="M63" i="7"/>
  <c r="O83" i="7" l="1"/>
  <c r="O82" i="7"/>
  <c r="O81" i="7"/>
  <c r="O80" i="7"/>
  <c r="O53" i="7"/>
  <c r="O52" i="7"/>
  <c r="O54" i="7"/>
  <c r="O55" i="7"/>
  <c r="O49" i="7"/>
  <c r="O50" i="7"/>
  <c r="O48" i="7"/>
  <c r="N67" i="7"/>
  <c r="N68" i="7"/>
  <c r="N69" i="7"/>
  <c r="N65" i="7"/>
  <c r="N63" i="7"/>
  <c r="N70" i="7"/>
  <c r="P80" i="7" l="1"/>
  <c r="P81" i="7"/>
  <c r="P83" i="7"/>
  <c r="P82" i="7"/>
  <c r="P54" i="7"/>
  <c r="P49" i="7"/>
  <c r="P52" i="7"/>
  <c r="P55" i="7"/>
  <c r="P53" i="7"/>
  <c r="P50" i="7"/>
  <c r="P48" i="7"/>
  <c r="O67" i="7"/>
  <c r="O70" i="7"/>
  <c r="O68" i="7"/>
  <c r="O63" i="7"/>
  <c r="O65" i="7"/>
  <c r="O69" i="7"/>
  <c r="Q83" i="7" l="1"/>
  <c r="Q82" i="7"/>
  <c r="Q80" i="7"/>
  <c r="Q81" i="7"/>
  <c r="P67" i="7"/>
  <c r="P70" i="7"/>
  <c r="P68" i="7"/>
  <c r="P69" i="7"/>
  <c r="P65" i="7"/>
  <c r="P63" i="7"/>
  <c r="Q54" i="7"/>
  <c r="Q55" i="7"/>
  <c r="Q53" i="7"/>
  <c r="Q52" i="7"/>
  <c r="Q49" i="7"/>
  <c r="Q50" i="7"/>
  <c r="Q48" i="7"/>
  <c r="R82" i="7" l="1"/>
  <c r="R83" i="7"/>
  <c r="R81" i="7"/>
  <c r="R80" i="7"/>
  <c r="Q67" i="7"/>
  <c r="Q63" i="7"/>
  <c r="Q70" i="7"/>
  <c r="Q65" i="7"/>
  <c r="Q69" i="7"/>
  <c r="Q68" i="7"/>
  <c r="R52" i="7"/>
  <c r="R53" i="7"/>
  <c r="R55" i="7"/>
  <c r="R49" i="7"/>
  <c r="R54" i="7"/>
  <c r="R50" i="7"/>
  <c r="R48" i="7"/>
  <c r="S82" i="7" l="1"/>
  <c r="S83" i="7"/>
  <c r="S81" i="7"/>
  <c r="S80" i="7"/>
  <c r="S52" i="7"/>
  <c r="S55" i="7"/>
  <c r="S49" i="7"/>
  <c r="S50" i="7"/>
  <c r="S53" i="7"/>
  <c r="S54" i="7"/>
  <c r="S48" i="7"/>
  <c r="R65" i="7"/>
  <c r="R69" i="7"/>
  <c r="R63" i="7"/>
  <c r="R67" i="7"/>
  <c r="R68" i="7"/>
  <c r="R70" i="7"/>
  <c r="T81" i="7" l="1"/>
  <c r="T80" i="7"/>
  <c r="T82" i="7"/>
  <c r="T83" i="7"/>
  <c r="T50" i="7"/>
  <c r="T53" i="7"/>
  <c r="T52" i="7"/>
  <c r="T55" i="7"/>
  <c r="T49" i="7"/>
  <c r="T54" i="7"/>
  <c r="T48" i="7"/>
  <c r="S68" i="7"/>
  <c r="S67" i="7"/>
  <c r="S69" i="7"/>
  <c r="S63" i="7"/>
  <c r="S70" i="7"/>
  <c r="S65" i="7"/>
  <c r="U80" i="7" l="1"/>
  <c r="U81" i="7"/>
  <c r="U82" i="7"/>
  <c r="U83" i="7"/>
  <c r="U53" i="7"/>
  <c r="U55" i="7"/>
  <c r="U50" i="7"/>
  <c r="U52" i="7"/>
  <c r="U49" i="7"/>
  <c r="U54" i="7"/>
  <c r="U48" i="7"/>
  <c r="T70" i="7"/>
  <c r="T63" i="7"/>
  <c r="T65" i="7"/>
  <c r="T67" i="7"/>
  <c r="T69" i="7"/>
  <c r="T68" i="7"/>
  <c r="V83" i="7" l="1"/>
  <c r="V82" i="7"/>
  <c r="V80" i="7"/>
  <c r="V81" i="7"/>
  <c r="U63" i="7"/>
  <c r="U65" i="7"/>
  <c r="U69" i="7"/>
  <c r="U68" i="7"/>
  <c r="U70" i="7"/>
  <c r="U67" i="7"/>
  <c r="V54" i="7"/>
  <c r="V50" i="7"/>
  <c r="V55" i="7"/>
  <c r="V49" i="7"/>
  <c r="V52" i="7"/>
  <c r="V53" i="7"/>
  <c r="V48" i="7"/>
  <c r="W82" i="7" l="1"/>
  <c r="W83" i="7"/>
  <c r="W80" i="7"/>
  <c r="W81" i="7"/>
  <c r="W55" i="7"/>
  <c r="W49" i="7"/>
  <c r="W54" i="7"/>
  <c r="W50" i="7"/>
  <c r="W52" i="7"/>
  <c r="W53" i="7"/>
  <c r="W48" i="7"/>
  <c r="V63" i="7"/>
  <c r="V65" i="7"/>
  <c r="V70" i="7"/>
  <c r="V67" i="7"/>
  <c r="V69" i="7"/>
  <c r="V68" i="7"/>
  <c r="X83" i="7" l="1"/>
  <c r="X82" i="7"/>
  <c r="X80" i="7"/>
  <c r="X81" i="7"/>
  <c r="W69" i="7"/>
  <c r="W68" i="7"/>
  <c r="W67" i="7"/>
  <c r="W63" i="7"/>
  <c r="W65" i="7"/>
  <c r="W70" i="7"/>
  <c r="X54" i="7"/>
  <c r="X53" i="7"/>
  <c r="X52" i="7"/>
  <c r="X49" i="7"/>
  <c r="X55" i="7"/>
  <c r="X50" i="7"/>
  <c r="X48" i="7"/>
  <c r="Y81" i="7" l="1"/>
  <c r="Y80" i="7"/>
  <c r="Y83" i="7"/>
  <c r="Y82" i="7"/>
  <c r="Y52" i="7"/>
  <c r="Y54" i="7"/>
  <c r="Y50" i="7"/>
  <c r="Y53" i="7"/>
  <c r="Y55" i="7"/>
  <c r="Y49" i="7"/>
  <c r="Y48" i="7"/>
  <c r="X67" i="7"/>
  <c r="X70" i="7"/>
  <c r="X65" i="7"/>
  <c r="X68" i="7"/>
  <c r="X63" i="7"/>
  <c r="X69" i="7"/>
  <c r="Z82" i="7" l="1"/>
  <c r="Z83" i="7"/>
  <c r="Z81" i="7"/>
  <c r="Z80" i="7"/>
  <c r="Y65" i="7"/>
  <c r="Y63" i="7"/>
  <c r="Y68" i="7"/>
  <c r="Y69" i="7"/>
  <c r="Y70" i="7"/>
  <c r="Y67" i="7"/>
  <c r="Z54" i="7"/>
  <c r="Z53" i="7"/>
  <c r="Z49" i="7"/>
  <c r="Z55" i="7"/>
  <c r="Z50" i="7"/>
  <c r="Z52" i="7"/>
  <c r="Z48" i="7"/>
  <c r="AA80" i="7" l="1"/>
  <c r="AA81" i="7"/>
  <c r="AA82" i="7"/>
  <c r="AA83" i="7"/>
  <c r="AA55" i="7"/>
  <c r="AA53" i="7"/>
  <c r="AA49" i="7"/>
  <c r="AA50" i="7"/>
  <c r="AA52" i="7"/>
  <c r="AA54" i="7"/>
  <c r="AA48" i="7"/>
  <c r="Z63" i="7"/>
  <c r="Z69" i="7"/>
  <c r="Z68" i="7"/>
  <c r="Z67" i="7"/>
  <c r="Z65" i="7"/>
  <c r="Z70" i="7"/>
  <c r="AB83" i="7" l="1"/>
  <c r="AB82" i="7"/>
  <c r="AB81" i="7"/>
  <c r="AB80" i="7"/>
  <c r="AB50" i="7"/>
  <c r="AB55" i="7"/>
  <c r="AB49" i="7"/>
  <c r="AB52" i="7"/>
  <c r="AB53" i="7"/>
  <c r="AB54" i="7"/>
  <c r="AB48" i="7"/>
  <c r="AA63" i="7"/>
  <c r="AA69" i="7"/>
  <c r="AA70" i="7"/>
  <c r="AA67" i="7"/>
  <c r="AA68" i="7"/>
  <c r="AA65" i="7"/>
  <c r="AC80" i="7" l="1"/>
  <c r="AC81" i="7"/>
  <c r="AC83" i="7"/>
  <c r="AC82" i="7"/>
  <c r="AC54" i="7"/>
  <c r="AC50" i="7"/>
  <c r="AC49" i="7"/>
  <c r="AC53" i="7"/>
  <c r="AC52" i="7"/>
  <c r="AC55" i="7"/>
  <c r="AC48" i="7"/>
  <c r="AB68" i="7"/>
  <c r="AB63" i="7"/>
  <c r="AB70" i="7"/>
  <c r="AB65" i="7"/>
  <c r="AB67" i="7"/>
  <c r="AB69" i="7"/>
  <c r="AD83" i="7" l="1"/>
  <c r="AD82" i="7"/>
  <c r="AD80" i="7"/>
  <c r="AD81" i="7"/>
  <c r="AC69" i="7"/>
  <c r="AC63" i="7"/>
  <c r="AC65" i="7"/>
  <c r="AC70" i="7"/>
  <c r="AC67" i="7"/>
  <c r="AC68" i="7"/>
  <c r="AD49" i="7"/>
  <c r="AD52" i="7"/>
  <c r="AD50" i="7"/>
  <c r="AD55" i="7"/>
  <c r="AD54" i="7"/>
  <c r="AD53" i="7"/>
  <c r="AD48" i="7"/>
  <c r="AE83" i="7" l="1"/>
  <c r="AE82" i="7"/>
  <c r="AE81" i="7"/>
  <c r="AE80" i="7"/>
  <c r="AD69" i="7"/>
  <c r="AD63" i="7"/>
  <c r="AD70" i="7"/>
  <c r="AD68" i="7"/>
  <c r="AD67" i="7"/>
  <c r="AD65" i="7"/>
  <c r="AE50" i="7"/>
  <c r="AE52" i="7"/>
  <c r="AE55" i="7"/>
  <c r="AE53" i="7"/>
  <c r="AE49" i="7"/>
  <c r="AE54" i="7"/>
  <c r="AE48" i="7"/>
  <c r="AF81" i="7" l="1"/>
  <c r="AF80" i="7"/>
  <c r="AF82" i="7"/>
  <c r="AF83" i="7"/>
  <c r="AF53" i="7"/>
  <c r="AF50" i="7"/>
  <c r="AF52" i="7"/>
  <c r="AF55" i="7"/>
  <c r="AF54" i="7"/>
  <c r="AF49" i="7"/>
  <c r="AF48" i="7"/>
  <c r="AE65" i="7"/>
  <c r="AE68" i="7"/>
  <c r="AE63" i="7"/>
  <c r="AE67" i="7"/>
  <c r="AE69" i="7"/>
  <c r="AE70" i="7"/>
  <c r="AG80" i="7" l="1"/>
  <c r="AG81" i="7"/>
  <c r="AG83" i="7"/>
  <c r="AG82" i="7"/>
  <c r="AG54" i="7"/>
  <c r="AG55" i="7"/>
  <c r="AG52" i="7"/>
  <c r="AG53" i="7"/>
  <c r="AG50" i="7"/>
  <c r="AG49" i="7"/>
  <c r="AG48" i="7"/>
  <c r="AF69" i="7"/>
  <c r="AF65" i="7"/>
  <c r="AF68" i="7"/>
  <c r="AF63" i="7"/>
  <c r="AF70" i="7"/>
  <c r="AF67" i="7"/>
  <c r="AH83" i="7" l="1"/>
  <c r="AH82" i="7"/>
  <c r="AH80" i="7"/>
  <c r="AH81" i="7"/>
  <c r="AG68" i="7"/>
  <c r="AG63" i="7"/>
  <c r="AG67" i="7"/>
  <c r="AG65" i="7"/>
  <c r="AG70" i="7"/>
  <c r="AG69" i="7"/>
  <c r="AH52" i="7"/>
  <c r="AH49" i="7"/>
  <c r="AH55" i="7"/>
  <c r="AH50" i="7"/>
  <c r="AH53" i="7"/>
  <c r="AH54" i="7"/>
  <c r="AH48" i="7"/>
  <c r="AI80" i="7" l="1"/>
  <c r="AI81" i="7"/>
  <c r="AI83" i="7"/>
  <c r="AI82" i="7"/>
  <c r="AI49" i="7"/>
  <c r="AI50" i="7"/>
  <c r="AI54" i="7"/>
  <c r="AI52" i="7"/>
  <c r="AI53" i="7"/>
  <c r="AI55" i="7"/>
  <c r="AI48" i="7"/>
  <c r="AH70" i="7"/>
  <c r="AH67" i="7"/>
  <c r="AH63" i="7"/>
  <c r="AH65" i="7"/>
  <c r="AH69" i="7"/>
  <c r="AH68" i="7"/>
  <c r="AJ82" i="7" l="1"/>
  <c r="AJ83" i="7"/>
  <c r="AJ80" i="7"/>
  <c r="AJ81" i="7"/>
  <c r="AI63" i="7"/>
  <c r="AI70" i="7"/>
  <c r="AI67" i="7"/>
  <c r="AI69" i="7"/>
  <c r="AI65" i="7"/>
  <c r="AI68" i="7"/>
  <c r="AJ50" i="7"/>
  <c r="AJ55" i="7"/>
  <c r="AJ54" i="7"/>
  <c r="AJ53" i="7"/>
  <c r="AJ52" i="7"/>
  <c r="AJ49" i="7"/>
  <c r="AJ48" i="7"/>
  <c r="AK80" i="7" l="1"/>
  <c r="AK81" i="7"/>
  <c r="AK83" i="7"/>
  <c r="AK82" i="7"/>
  <c r="AK55" i="7"/>
  <c r="AK52" i="7"/>
  <c r="AK50" i="7"/>
  <c r="AK54" i="7"/>
  <c r="AK49" i="7"/>
  <c r="AK53" i="7"/>
  <c r="AK48" i="7"/>
  <c r="AJ63" i="7"/>
  <c r="AJ65" i="7"/>
  <c r="AJ70" i="7"/>
  <c r="AJ68" i="7"/>
  <c r="AJ67" i="7"/>
  <c r="AJ69" i="7"/>
  <c r="AL83" i="7" l="1"/>
  <c r="AL82" i="7"/>
  <c r="AL81" i="7"/>
  <c r="AL80" i="7"/>
  <c r="AL52" i="7"/>
  <c r="AL55" i="7"/>
  <c r="AL53" i="7"/>
  <c r="AL54" i="7"/>
  <c r="AL50" i="7"/>
  <c r="AL49" i="7"/>
  <c r="AL48" i="7"/>
  <c r="AK67" i="7"/>
  <c r="AK63" i="7"/>
  <c r="AK68" i="7"/>
  <c r="AK70" i="7"/>
  <c r="AK69" i="7"/>
  <c r="AK65" i="7"/>
  <c r="AM81" i="7" l="1"/>
  <c r="AM80" i="7"/>
  <c r="AM82" i="7"/>
  <c r="AM83" i="7"/>
  <c r="AM54" i="7"/>
  <c r="AM52" i="7"/>
  <c r="AM49" i="7"/>
  <c r="AM55" i="7"/>
  <c r="AM53" i="7"/>
  <c r="AM50" i="7"/>
  <c r="AM48" i="7"/>
  <c r="AL68" i="7"/>
  <c r="AL67" i="7"/>
  <c r="AL69" i="7"/>
  <c r="AL65" i="7"/>
  <c r="AL63" i="7"/>
  <c r="AL70" i="7"/>
  <c r="AN83" i="7" l="1"/>
  <c r="AN82" i="7"/>
  <c r="AN80" i="7"/>
  <c r="AN81" i="7"/>
  <c r="AM63" i="7"/>
  <c r="AM70" i="7"/>
  <c r="AM67" i="7"/>
  <c r="AM69" i="7"/>
  <c r="AM68" i="7"/>
  <c r="AM65" i="7"/>
  <c r="AN54" i="7"/>
  <c r="AN55" i="7"/>
  <c r="AN49" i="7"/>
  <c r="AN50" i="7"/>
  <c r="AN52" i="7"/>
  <c r="AN53" i="7"/>
  <c r="AN48" i="7"/>
  <c r="AO82" i="7" l="1"/>
  <c r="AO83" i="7"/>
  <c r="AO80" i="7"/>
  <c r="AO81" i="7"/>
  <c r="AO53" i="7"/>
  <c r="AO49" i="7"/>
  <c r="AO52" i="7"/>
  <c r="AO54" i="7"/>
  <c r="AO55" i="7"/>
  <c r="AO50" i="7"/>
  <c r="AO48" i="7"/>
  <c r="AN63" i="7"/>
  <c r="AN70" i="7"/>
  <c r="AN69" i="7"/>
  <c r="AN68" i="7"/>
  <c r="AN67" i="7"/>
  <c r="AN65" i="7"/>
  <c r="AP83" i="7" l="1"/>
  <c r="AP82" i="7"/>
  <c r="AP81" i="7"/>
  <c r="AP80" i="7"/>
  <c r="AP52" i="7"/>
  <c r="AP54" i="7"/>
  <c r="AP50" i="7"/>
  <c r="AP49" i="7"/>
  <c r="AP55" i="7"/>
  <c r="AP53" i="7"/>
  <c r="AP48" i="7"/>
  <c r="AO65" i="7"/>
  <c r="AO69" i="7"/>
  <c r="AO67" i="7"/>
  <c r="AO70" i="7"/>
  <c r="AO68" i="7"/>
  <c r="AO63" i="7"/>
  <c r="AQ82" i="7" l="1"/>
  <c r="AQ83" i="7"/>
  <c r="AQ80" i="7"/>
  <c r="AQ81" i="7"/>
  <c r="AQ53" i="7"/>
  <c r="AQ49" i="7"/>
  <c r="AQ54" i="7"/>
  <c r="AQ50" i="7"/>
  <c r="AQ55" i="7"/>
  <c r="AQ52" i="7"/>
  <c r="AQ48" i="7"/>
  <c r="AP69" i="7"/>
  <c r="AP70" i="7"/>
  <c r="AP65" i="7"/>
  <c r="AP68" i="7"/>
  <c r="AP67" i="7"/>
  <c r="AP63" i="7"/>
  <c r="AR80" i="7" l="1"/>
  <c r="AR81" i="7"/>
  <c r="AR82" i="7"/>
  <c r="AR83" i="7"/>
  <c r="AQ68" i="7"/>
  <c r="AQ67" i="7"/>
  <c r="AQ70" i="7"/>
  <c r="AQ69" i="7"/>
  <c r="AQ65" i="7"/>
  <c r="AQ63" i="7"/>
  <c r="AR55" i="7"/>
  <c r="AR50" i="7"/>
  <c r="AR49" i="7"/>
  <c r="AR54" i="7"/>
  <c r="AR52" i="7"/>
  <c r="AR53" i="7"/>
  <c r="AR48" i="7"/>
  <c r="AS83" i="7" l="1"/>
  <c r="AS82" i="7"/>
  <c r="AS81" i="7"/>
  <c r="AS80" i="7"/>
  <c r="AR68" i="7"/>
  <c r="AR63" i="7"/>
  <c r="AR65" i="7"/>
  <c r="AR67" i="7"/>
  <c r="AR69" i="7"/>
  <c r="AR70" i="7"/>
  <c r="AS50" i="7"/>
  <c r="AS49" i="7"/>
  <c r="AS55" i="7"/>
  <c r="AS54" i="7"/>
  <c r="AS53" i="7"/>
  <c r="AS52" i="7"/>
  <c r="AS48" i="7"/>
  <c r="AT81" i="7" l="1"/>
  <c r="AT80" i="7"/>
  <c r="AT83" i="7"/>
  <c r="AT82" i="7"/>
  <c r="AT55" i="7"/>
  <c r="AT50" i="7"/>
  <c r="AT53" i="7"/>
  <c r="AT49" i="7"/>
  <c r="AT54" i="7"/>
  <c r="AT52" i="7"/>
  <c r="AT48" i="7"/>
  <c r="AS63" i="7"/>
  <c r="AS68" i="7"/>
  <c r="AS69" i="7"/>
  <c r="AS65" i="7"/>
  <c r="AS70" i="7"/>
  <c r="AS67" i="7"/>
  <c r="AU81" i="7" l="1"/>
  <c r="AU80" i="7"/>
  <c r="AU82" i="7"/>
  <c r="AU83" i="7"/>
  <c r="AT68" i="7"/>
  <c r="AT63" i="7"/>
  <c r="AT65" i="7"/>
  <c r="AT70" i="7"/>
  <c r="AT67" i="7"/>
  <c r="AT69" i="7"/>
  <c r="AU53" i="7"/>
  <c r="AU50" i="7"/>
  <c r="AU55" i="7"/>
  <c r="AU52" i="7"/>
  <c r="AU54" i="7"/>
  <c r="AU49" i="7"/>
  <c r="AU48" i="7"/>
  <c r="AV83" i="7" l="1"/>
  <c r="AV82" i="7"/>
  <c r="AV80" i="7"/>
  <c r="AV81" i="7"/>
  <c r="AU63" i="7"/>
  <c r="AU67" i="7"/>
  <c r="AU69" i="7"/>
  <c r="AU70" i="7"/>
  <c r="AU65" i="7"/>
  <c r="AU68" i="7"/>
  <c r="AV53" i="7"/>
  <c r="AV54" i="7"/>
  <c r="AV55" i="7"/>
  <c r="AV50" i="7"/>
  <c r="AV52" i="7"/>
  <c r="AV49" i="7"/>
  <c r="AV48" i="7"/>
  <c r="AW83" i="7" l="1"/>
  <c r="AW82" i="7"/>
  <c r="AW80" i="7"/>
  <c r="AW81" i="7"/>
  <c r="AW55" i="7"/>
  <c r="AW52" i="7"/>
  <c r="AW53" i="7"/>
  <c r="AW49" i="7"/>
  <c r="AW50" i="7"/>
  <c r="AW54" i="7"/>
  <c r="AW48" i="7"/>
  <c r="AV67" i="7"/>
  <c r="AV68" i="7"/>
  <c r="AV65" i="7"/>
  <c r="AV70" i="7"/>
  <c r="AV69" i="7"/>
  <c r="AV63" i="7"/>
  <c r="AX82" i="7" l="1"/>
  <c r="AX83" i="7"/>
  <c r="AX80" i="7"/>
  <c r="AX81" i="7"/>
  <c r="AW70" i="7"/>
  <c r="AW68" i="7"/>
  <c r="AW63" i="7"/>
  <c r="AW67" i="7"/>
  <c r="AW65" i="7"/>
  <c r="AW69" i="7"/>
  <c r="AX52" i="7"/>
  <c r="AX50" i="7"/>
  <c r="AX55" i="7"/>
  <c r="AX53" i="7"/>
  <c r="AX49" i="7"/>
  <c r="AX54" i="7"/>
  <c r="AX48" i="7"/>
  <c r="AY83" i="7" l="1"/>
  <c r="AY82" i="7"/>
  <c r="AY80" i="7"/>
  <c r="AY81" i="7"/>
  <c r="AY49" i="7"/>
  <c r="AY55" i="7"/>
  <c r="AY54" i="7"/>
  <c r="AY52" i="7"/>
  <c r="AY53" i="7"/>
  <c r="AY50" i="7"/>
  <c r="AY48" i="7"/>
  <c r="AX67" i="7"/>
  <c r="AX65" i="7"/>
  <c r="AX69" i="7"/>
  <c r="AX68" i="7"/>
  <c r="AX63" i="7"/>
  <c r="AX70" i="7"/>
  <c r="AZ83" i="7" l="1"/>
  <c r="AZ82" i="7"/>
  <c r="AZ80" i="7"/>
  <c r="AZ81" i="7"/>
  <c r="AY67" i="7"/>
  <c r="AY63" i="7"/>
  <c r="AY65" i="7"/>
  <c r="AY70" i="7"/>
  <c r="AY68" i="7"/>
  <c r="AY69" i="7"/>
  <c r="AZ50" i="7"/>
  <c r="AZ49" i="7"/>
  <c r="AZ55" i="7"/>
  <c r="AZ54" i="7"/>
  <c r="AZ52" i="7"/>
  <c r="AZ53" i="7"/>
  <c r="AZ48" i="7"/>
  <c r="BA83" i="7" l="1"/>
  <c r="BA82" i="7"/>
  <c r="BA80" i="7"/>
  <c r="BA81" i="7"/>
  <c r="BA53" i="7"/>
  <c r="BA55" i="7"/>
  <c r="BA52" i="7"/>
  <c r="BA50" i="7"/>
  <c r="BA49" i="7"/>
  <c r="BA54" i="7"/>
  <c r="BA48" i="7"/>
  <c r="AZ65" i="7"/>
  <c r="AZ69" i="7"/>
  <c r="AZ70" i="7"/>
  <c r="AZ67" i="7"/>
  <c r="AZ63" i="7"/>
  <c r="AZ68" i="7"/>
  <c r="BB82" i="7" l="1"/>
  <c r="BB83" i="7"/>
  <c r="BB81" i="7"/>
  <c r="BB80" i="7"/>
  <c r="BB52" i="7"/>
  <c r="BB50" i="7"/>
  <c r="BB49" i="7"/>
  <c r="BB55" i="7"/>
  <c r="BB53" i="7"/>
  <c r="BB54" i="7"/>
  <c r="BB48" i="7"/>
  <c r="BA65" i="7"/>
  <c r="BA67" i="7"/>
  <c r="BA70" i="7"/>
  <c r="BA68" i="7"/>
  <c r="BA63" i="7"/>
  <c r="BA69" i="7"/>
  <c r="BC80" i="7" l="1"/>
  <c r="BC81" i="7"/>
  <c r="BC83" i="7"/>
  <c r="BC82" i="7"/>
  <c r="BC49" i="7"/>
  <c r="BC52" i="7"/>
  <c r="BC50" i="7"/>
  <c r="BC53" i="7"/>
  <c r="BC55" i="7"/>
  <c r="BC54" i="7"/>
  <c r="BC48" i="7"/>
  <c r="BB69" i="7"/>
  <c r="BB70" i="7"/>
  <c r="BB65" i="7"/>
  <c r="BB68" i="7"/>
  <c r="BB63" i="7"/>
  <c r="BB67" i="7"/>
  <c r="BD81" i="7" l="1"/>
  <c r="BD80" i="7"/>
  <c r="BD82" i="7"/>
  <c r="BD83" i="7"/>
  <c r="BC63" i="7"/>
  <c r="BC70" i="7"/>
  <c r="BC68" i="7"/>
  <c r="BC65" i="7"/>
  <c r="BC69" i="7"/>
  <c r="BC67" i="7"/>
  <c r="BD55" i="7"/>
  <c r="BD49" i="7"/>
  <c r="BD50" i="7"/>
  <c r="BD54" i="7"/>
  <c r="BD53" i="7"/>
  <c r="BD52" i="7"/>
  <c r="BD48" i="7"/>
  <c r="BE81" i="7" l="1"/>
  <c r="BE80" i="7"/>
  <c r="BE83" i="7"/>
  <c r="BE82" i="7"/>
  <c r="BD70" i="7"/>
  <c r="BD68" i="7"/>
  <c r="BD69" i="7"/>
  <c r="BD67" i="7"/>
  <c r="BD63" i="7"/>
  <c r="BD65" i="7"/>
  <c r="BE55" i="7"/>
  <c r="BE54" i="7"/>
  <c r="BE52" i="7"/>
  <c r="BE53" i="7"/>
  <c r="BE50" i="7"/>
  <c r="BE49" i="7"/>
  <c r="BE48" i="7"/>
  <c r="BF83" i="7" l="1"/>
  <c r="BF82" i="7"/>
  <c r="BF81" i="7"/>
  <c r="BF80" i="7"/>
  <c r="BF55" i="7"/>
  <c r="BF49" i="7"/>
  <c r="BF52" i="7"/>
  <c r="BF50" i="7"/>
  <c r="BF54" i="7"/>
  <c r="BF53" i="7"/>
  <c r="BF48" i="7"/>
  <c r="BE65" i="7"/>
  <c r="BE69" i="7"/>
  <c r="BE68" i="7"/>
  <c r="BE67" i="7"/>
  <c r="BE63" i="7"/>
  <c r="BE70" i="7"/>
  <c r="BG83" i="7" l="1"/>
  <c r="BG82" i="7"/>
  <c r="BG80" i="7"/>
  <c r="BG81" i="7"/>
  <c r="BF63" i="7"/>
  <c r="BF70" i="7"/>
  <c r="BF68" i="7"/>
  <c r="BF69" i="7"/>
  <c r="BF67" i="7"/>
  <c r="BF65" i="7"/>
  <c r="BG52" i="7"/>
  <c r="BG55" i="7"/>
  <c r="BG50" i="7"/>
  <c r="BG54" i="7"/>
  <c r="BG49" i="7"/>
  <c r="BG53" i="7"/>
  <c r="BG48" i="7"/>
  <c r="BH80" i="7" l="1"/>
  <c r="BH81" i="7"/>
  <c r="BH83" i="7"/>
  <c r="BH82" i="7"/>
  <c r="BG63" i="7"/>
  <c r="BG70" i="7"/>
  <c r="BG68" i="7"/>
  <c r="BG65" i="7"/>
  <c r="BG67" i="7"/>
  <c r="BG69" i="7"/>
  <c r="BH49" i="7"/>
  <c r="BH50" i="7"/>
  <c r="BH55" i="7"/>
  <c r="BH54" i="7"/>
  <c r="BH53" i="7"/>
  <c r="BH52" i="7"/>
  <c r="BH48" i="7"/>
  <c r="BI82" i="7" l="1"/>
  <c r="BI83" i="7"/>
  <c r="BI81" i="7"/>
  <c r="BI80" i="7"/>
  <c r="BH69" i="7"/>
  <c r="BH67" i="7"/>
  <c r="BH65" i="7"/>
  <c r="BH63" i="7"/>
  <c r="BH68" i="7"/>
  <c r="BH70" i="7"/>
  <c r="BI49" i="7"/>
  <c r="BI52" i="7"/>
  <c r="BI53" i="7"/>
  <c r="BI55" i="7"/>
  <c r="BI54" i="7"/>
  <c r="BI50" i="7"/>
  <c r="BI48" i="7"/>
  <c r="BJ82" i="7" l="1"/>
  <c r="BJ83" i="7"/>
  <c r="BJ80" i="7"/>
  <c r="BJ81" i="7"/>
  <c r="BI69" i="7"/>
  <c r="BI68" i="7"/>
  <c r="BI63" i="7"/>
  <c r="BI67" i="7"/>
  <c r="BI70" i="7"/>
  <c r="BI65" i="7"/>
  <c r="BJ54" i="7"/>
  <c r="BJ55" i="7"/>
  <c r="BJ49" i="7"/>
  <c r="BJ50" i="7"/>
  <c r="BJ53" i="7"/>
  <c r="BJ52" i="7"/>
  <c r="BJ48" i="7"/>
  <c r="BK80" i="7" l="1"/>
  <c r="BK81" i="7"/>
  <c r="BK82" i="7"/>
  <c r="BK83" i="7"/>
  <c r="BJ68" i="7"/>
  <c r="BJ63" i="7"/>
  <c r="BJ70" i="7"/>
  <c r="BJ67" i="7"/>
  <c r="BJ65" i="7"/>
  <c r="BJ69" i="7"/>
  <c r="BK50" i="7"/>
  <c r="BK49" i="7"/>
  <c r="BK54" i="7"/>
  <c r="BK52" i="7"/>
  <c r="BK53" i="7"/>
  <c r="BK55" i="7"/>
  <c r="BK48" i="7"/>
  <c r="BL80" i="7" l="1"/>
  <c r="BL81" i="7"/>
  <c r="BL82" i="7"/>
  <c r="BL83" i="7"/>
  <c r="BL50" i="7"/>
  <c r="BL49" i="7"/>
  <c r="BL53" i="7"/>
  <c r="BL54" i="7"/>
  <c r="BL55" i="7"/>
  <c r="BL52" i="7"/>
  <c r="BL48" i="7"/>
  <c r="BK67" i="7"/>
  <c r="BK65" i="7"/>
  <c r="BK69" i="7"/>
  <c r="BK70" i="7"/>
  <c r="BK68" i="7"/>
  <c r="BK63" i="7"/>
  <c r="BM81" i="7" l="1"/>
  <c r="BM80" i="7"/>
  <c r="BM82" i="7"/>
  <c r="BM83" i="7"/>
  <c r="BL68" i="7"/>
  <c r="BL63" i="7"/>
  <c r="BL69" i="7"/>
  <c r="BL65" i="7"/>
  <c r="BL70" i="7"/>
  <c r="BL67" i="7"/>
  <c r="BM50" i="7"/>
  <c r="BM53" i="7"/>
  <c r="BM55" i="7"/>
  <c r="BM49" i="7"/>
  <c r="BM54" i="7"/>
  <c r="BM52" i="7"/>
  <c r="BM48" i="7"/>
  <c r="BN80" i="7" l="1"/>
  <c r="BN81" i="7"/>
  <c r="BN82" i="7"/>
  <c r="BN83" i="7"/>
  <c r="BN52" i="7"/>
  <c r="BN54" i="7"/>
  <c r="BN50" i="7"/>
  <c r="BN55" i="7"/>
  <c r="BN49" i="7"/>
  <c r="BN53" i="7"/>
  <c r="BN48" i="7"/>
  <c r="BM67" i="7"/>
  <c r="BM65" i="7"/>
  <c r="BM68" i="7"/>
  <c r="BM69" i="7"/>
  <c r="BM63" i="7"/>
  <c r="BM70" i="7"/>
  <c r="BO80" i="7" l="1"/>
  <c r="BO81" i="7"/>
  <c r="BO82" i="7"/>
  <c r="BO83" i="7"/>
  <c r="BN63" i="7"/>
  <c r="BN70" i="7"/>
  <c r="BN69" i="7"/>
  <c r="BN65" i="7"/>
  <c r="BN68" i="7"/>
  <c r="BN67" i="7"/>
  <c r="BO54" i="7"/>
  <c r="BO55" i="7"/>
  <c r="BO53" i="7"/>
  <c r="BO50" i="7"/>
  <c r="BO52" i="7"/>
  <c r="BO49" i="7"/>
  <c r="BO48" i="7"/>
  <c r="BP81" i="7" l="1"/>
  <c r="BP80" i="7"/>
  <c r="BP82" i="7"/>
  <c r="BP83" i="7"/>
  <c r="BP49" i="7"/>
  <c r="BP50" i="7"/>
  <c r="BP54" i="7"/>
  <c r="BP53" i="7"/>
  <c r="BP52" i="7"/>
  <c r="BP55" i="7"/>
  <c r="BP48" i="7"/>
  <c r="BO68" i="7"/>
  <c r="BO67" i="7"/>
  <c r="BO69" i="7"/>
  <c r="BO70" i="7"/>
  <c r="BO63" i="7"/>
  <c r="BO65" i="7"/>
  <c r="BQ82" i="7" l="1"/>
  <c r="BQ83" i="7"/>
  <c r="BQ81" i="7"/>
  <c r="BQ80" i="7"/>
  <c r="BQ49" i="7"/>
  <c r="BQ53" i="7"/>
  <c r="BQ52" i="7"/>
  <c r="BQ55" i="7"/>
  <c r="BQ54" i="7"/>
  <c r="BQ50" i="7"/>
  <c r="BQ48" i="7"/>
  <c r="BP68" i="7"/>
  <c r="BP63" i="7"/>
  <c r="BP67" i="7"/>
  <c r="BP65" i="7"/>
  <c r="BP70" i="7"/>
  <c r="BP69" i="7"/>
  <c r="BR81" i="7" l="1"/>
  <c r="BR80" i="7"/>
  <c r="BR83" i="7"/>
  <c r="BR82" i="7"/>
  <c r="BQ68" i="7"/>
  <c r="BQ69" i="7"/>
  <c r="BQ65" i="7"/>
  <c r="BQ70" i="7"/>
  <c r="BQ67" i="7"/>
  <c r="BQ63" i="7"/>
  <c r="BR50" i="7"/>
  <c r="BR49" i="7"/>
  <c r="BR55" i="7"/>
  <c r="BR54" i="7"/>
  <c r="BR53" i="7"/>
  <c r="BR52" i="7"/>
  <c r="BR48" i="7"/>
  <c r="BS83" i="7" l="1"/>
  <c r="BS82" i="7"/>
  <c r="BS80" i="7"/>
  <c r="BS81" i="7"/>
  <c r="BR68" i="7"/>
  <c r="BR63" i="7"/>
  <c r="BR65" i="7"/>
  <c r="BR67" i="7"/>
  <c r="BR69" i="7"/>
  <c r="BR70" i="7"/>
  <c r="BS52" i="7"/>
  <c r="BS55" i="7"/>
  <c r="BS49" i="7"/>
  <c r="BS50" i="7"/>
  <c r="BS53" i="7"/>
  <c r="BS54" i="7"/>
  <c r="BS48" i="7"/>
  <c r="BT81" i="7" l="1"/>
  <c r="BT80" i="7"/>
  <c r="BT82" i="7"/>
  <c r="BT83" i="7"/>
  <c r="BS65" i="7"/>
  <c r="BS67" i="7"/>
  <c r="BS63" i="7"/>
  <c r="BS69" i="7"/>
  <c r="BS68" i="7"/>
  <c r="BS70" i="7"/>
  <c r="BT54" i="7"/>
  <c r="BT52" i="7"/>
  <c r="BT53" i="7"/>
  <c r="BT49" i="7"/>
  <c r="BT50" i="7"/>
  <c r="BT55" i="7"/>
  <c r="BT48" i="7"/>
  <c r="BU81" i="7" l="1"/>
  <c r="BU80" i="7"/>
  <c r="BU83" i="7"/>
  <c r="BU82" i="7"/>
  <c r="BU49" i="7"/>
  <c r="BU52" i="7"/>
  <c r="BU54" i="7"/>
  <c r="BU55" i="7"/>
  <c r="BU50" i="7"/>
  <c r="BU53" i="7"/>
  <c r="BU48" i="7"/>
  <c r="BT67" i="7"/>
  <c r="BT68" i="7"/>
  <c r="BT65" i="7"/>
  <c r="BT63" i="7"/>
  <c r="BT70" i="7"/>
  <c r="BT69" i="7"/>
  <c r="BV83" i="7" l="1"/>
  <c r="BV82" i="7"/>
  <c r="BV80" i="7"/>
  <c r="BV81" i="7"/>
  <c r="BU68" i="7"/>
  <c r="BU63" i="7"/>
  <c r="BU69" i="7"/>
  <c r="BU70" i="7"/>
  <c r="BU65" i="7"/>
  <c r="BU67" i="7"/>
  <c r="BV53" i="7"/>
  <c r="BV50" i="7"/>
  <c r="BV54" i="7"/>
  <c r="BV55" i="7"/>
  <c r="BV52" i="7"/>
  <c r="BV49" i="7"/>
  <c r="BV48" i="7"/>
  <c r="BW83" i="7" l="1"/>
  <c r="BW82" i="7"/>
  <c r="BW81" i="7"/>
  <c r="BW80" i="7"/>
  <c r="BV65" i="7"/>
  <c r="BV63" i="7"/>
  <c r="BV69" i="7"/>
  <c r="BV70" i="7"/>
  <c r="BV67" i="7"/>
  <c r="BV68" i="7"/>
  <c r="BW53" i="7"/>
  <c r="BW49" i="7"/>
  <c r="BW52" i="7"/>
  <c r="BW55" i="7"/>
  <c r="BW54" i="7"/>
  <c r="BW50" i="7"/>
  <c r="BW48" i="7"/>
  <c r="BX82" i="7" l="1"/>
  <c r="BX83" i="7"/>
  <c r="BX81" i="7"/>
  <c r="BX80" i="7"/>
  <c r="BW70" i="7"/>
  <c r="BW67" i="7"/>
  <c r="BW68" i="7"/>
  <c r="BW65" i="7"/>
  <c r="BW63" i="7"/>
  <c r="BW69" i="7"/>
  <c r="BX55" i="7"/>
  <c r="BX49" i="7"/>
  <c r="BX54" i="7"/>
  <c r="BX52" i="7"/>
  <c r="BX50" i="7"/>
  <c r="BX53" i="7"/>
  <c r="BX48" i="7"/>
  <c r="BY81" i="7" l="1"/>
  <c r="BY80" i="7"/>
  <c r="BY83" i="7"/>
  <c r="BY82" i="7"/>
  <c r="BY50" i="7"/>
  <c r="BY55" i="7"/>
  <c r="BY52" i="7"/>
  <c r="BY49" i="7"/>
  <c r="BY53" i="7"/>
  <c r="BY54" i="7"/>
  <c r="BY48" i="7"/>
  <c r="BX63" i="7"/>
  <c r="BX67" i="7"/>
  <c r="BX69" i="7"/>
  <c r="BX70" i="7"/>
  <c r="BX65" i="7"/>
  <c r="BX68" i="7"/>
  <c r="BZ80" i="7" l="1"/>
  <c r="BZ81" i="7"/>
  <c r="BZ82" i="7"/>
  <c r="BZ83" i="7"/>
  <c r="BY68" i="7"/>
  <c r="BY67" i="7"/>
  <c r="BY63" i="7"/>
  <c r="BY69" i="7"/>
  <c r="BY65" i="7"/>
  <c r="BY70" i="7"/>
  <c r="BZ50" i="7"/>
  <c r="BZ52" i="7"/>
  <c r="BZ53" i="7"/>
  <c r="BZ54" i="7"/>
  <c r="BZ55" i="7"/>
  <c r="BZ49" i="7"/>
  <c r="BZ48" i="7"/>
  <c r="CA82" i="7" l="1"/>
  <c r="CA83" i="7"/>
  <c r="CA80" i="7"/>
  <c r="CA81" i="7"/>
  <c r="CA50" i="7"/>
  <c r="CA49" i="7"/>
  <c r="CA55" i="7"/>
  <c r="CA53" i="7"/>
  <c r="CA52" i="7"/>
  <c r="CA54" i="7"/>
  <c r="CA48" i="7"/>
  <c r="BZ65" i="7"/>
  <c r="BZ67" i="7"/>
  <c r="BZ70" i="7"/>
  <c r="BZ69" i="7"/>
  <c r="BZ63" i="7"/>
  <c r="BZ68" i="7"/>
  <c r="CB83" i="7" l="1"/>
  <c r="CB82" i="7"/>
  <c r="CB80" i="7"/>
  <c r="CB81" i="7"/>
  <c r="CA69" i="7"/>
  <c r="CA67" i="7"/>
  <c r="CA65" i="7"/>
  <c r="CA63" i="7"/>
  <c r="CA68" i="7"/>
  <c r="CA70" i="7"/>
  <c r="CB49" i="7"/>
  <c r="CB53" i="7"/>
  <c r="CB54" i="7"/>
  <c r="CB55" i="7"/>
  <c r="CB50" i="7"/>
  <c r="CB52" i="7"/>
  <c r="CB48" i="7"/>
  <c r="CC83" i="7" l="1"/>
  <c r="CC82" i="7"/>
  <c r="CC80" i="7"/>
  <c r="CC81" i="7"/>
  <c r="CC50" i="7"/>
  <c r="CC49" i="7"/>
  <c r="CC54" i="7"/>
  <c r="CC53" i="7"/>
  <c r="CC52" i="7"/>
  <c r="CC55" i="7"/>
  <c r="CC48" i="7"/>
  <c r="CB67" i="7"/>
  <c r="CB70" i="7"/>
  <c r="CB65" i="7"/>
  <c r="CB68" i="7"/>
  <c r="CB63" i="7"/>
  <c r="CB69" i="7"/>
  <c r="CD83" i="7" l="1"/>
  <c r="CD82" i="7"/>
  <c r="CD80" i="7"/>
  <c r="CD81" i="7"/>
  <c r="CD54" i="7"/>
  <c r="CD53" i="7"/>
  <c r="CD52" i="7"/>
  <c r="CD55" i="7"/>
  <c r="CD50" i="7"/>
  <c r="CD49" i="7"/>
  <c r="CD48" i="7"/>
  <c r="CC67" i="7"/>
  <c r="CC65" i="7"/>
  <c r="CC63" i="7"/>
  <c r="CC68" i="7"/>
  <c r="CC69" i="7"/>
  <c r="CC70" i="7"/>
  <c r="CE81" i="7" l="1"/>
  <c r="CE80" i="7"/>
  <c r="CE83" i="7"/>
  <c r="CE82" i="7"/>
  <c r="CD70" i="7"/>
  <c r="CD68" i="7"/>
  <c r="CD69" i="7"/>
  <c r="CD65" i="7"/>
  <c r="CD63" i="7"/>
  <c r="CD67" i="7"/>
  <c r="CE52" i="7"/>
  <c r="CE53" i="7"/>
  <c r="CE55" i="7"/>
  <c r="CE49" i="7"/>
  <c r="CE50" i="7"/>
  <c r="CE54" i="7"/>
  <c r="CE48" i="7"/>
  <c r="CF80" i="7" l="1"/>
  <c r="CF81" i="7"/>
  <c r="CF83" i="7"/>
  <c r="CF82" i="7"/>
  <c r="CE65" i="7"/>
  <c r="CE68" i="7"/>
  <c r="CE67" i="7"/>
  <c r="CE63" i="7"/>
  <c r="CE69" i="7"/>
  <c r="CE70" i="7"/>
  <c r="CF50" i="7"/>
  <c r="CF55" i="7"/>
  <c r="CF49" i="7"/>
  <c r="CF53" i="7"/>
  <c r="CF54" i="7"/>
  <c r="CF52" i="7"/>
  <c r="CF48" i="7"/>
  <c r="CG82" i="7" l="1"/>
  <c r="CG83" i="7"/>
  <c r="CG80" i="7"/>
  <c r="CG81" i="7"/>
  <c r="CG54" i="7"/>
  <c r="CG55" i="7"/>
  <c r="CG50" i="7"/>
  <c r="CG52" i="7"/>
  <c r="CG49" i="7"/>
  <c r="CG53" i="7"/>
  <c r="CG48" i="7"/>
  <c r="CF67" i="7"/>
  <c r="CF65" i="7"/>
  <c r="CF70" i="7"/>
  <c r="CF69" i="7"/>
  <c r="CF68" i="7"/>
  <c r="CF63" i="7"/>
  <c r="CH81" i="7" l="1"/>
  <c r="CH80" i="7"/>
  <c r="CH82" i="7"/>
  <c r="CH83" i="7"/>
  <c r="CH55" i="7"/>
  <c r="CH52" i="7"/>
  <c r="CH53" i="7"/>
  <c r="CH54" i="7"/>
  <c r="CH49" i="7"/>
  <c r="CH50" i="7"/>
  <c r="CH48" i="7"/>
  <c r="CG67" i="7"/>
  <c r="CG70" i="7"/>
  <c r="CG65" i="7"/>
  <c r="CG69" i="7"/>
  <c r="CG63" i="7"/>
  <c r="CG68" i="7"/>
  <c r="CI81" i="7" l="1"/>
  <c r="CI80" i="7"/>
  <c r="CI83" i="7"/>
  <c r="CI82" i="7"/>
  <c r="CI49" i="7"/>
  <c r="CI53" i="7"/>
  <c r="CI55" i="7"/>
  <c r="CI50" i="7"/>
  <c r="CI54" i="7"/>
  <c r="CI52" i="7"/>
  <c r="CI48" i="7"/>
  <c r="CH69" i="7"/>
  <c r="CH70" i="7"/>
  <c r="CH68" i="7"/>
  <c r="CH63" i="7"/>
  <c r="CH67" i="7"/>
  <c r="CH65" i="7"/>
  <c r="CJ83" i="7" l="1"/>
  <c r="CJ82" i="7"/>
  <c r="CJ80" i="7"/>
  <c r="CJ81" i="7"/>
  <c r="CJ54" i="7"/>
  <c r="CJ49" i="7"/>
  <c r="CJ50" i="7"/>
  <c r="CJ52" i="7"/>
  <c r="CJ53" i="7"/>
  <c r="CJ55" i="7"/>
  <c r="CJ48" i="7"/>
  <c r="CI65" i="7"/>
  <c r="CI63" i="7"/>
  <c r="CI69" i="7"/>
  <c r="CI67" i="7"/>
  <c r="CI70" i="7"/>
  <c r="CI68" i="7"/>
  <c r="CK81" i="7" l="1"/>
  <c r="CK80" i="7"/>
  <c r="CK82" i="7"/>
  <c r="CK83" i="7"/>
  <c r="CJ63" i="7"/>
  <c r="CJ70" i="7"/>
  <c r="CJ68" i="7"/>
  <c r="CJ67" i="7"/>
  <c r="CJ65" i="7"/>
  <c r="CJ69" i="7"/>
  <c r="CK50" i="7"/>
  <c r="CK53" i="7"/>
  <c r="CK52" i="7"/>
  <c r="CK54" i="7"/>
  <c r="CK49" i="7"/>
  <c r="CK55" i="7"/>
  <c r="CK48" i="7"/>
  <c r="CL80" i="7" l="1"/>
  <c r="CL81" i="7"/>
  <c r="CL83" i="7"/>
  <c r="CL82" i="7"/>
  <c r="CL55" i="7"/>
  <c r="CL50" i="7"/>
  <c r="CL49" i="7"/>
  <c r="CL53" i="7"/>
  <c r="CL52" i="7"/>
  <c r="CL54" i="7"/>
  <c r="CL48" i="7"/>
  <c r="CK67" i="7"/>
  <c r="CK68" i="7"/>
  <c r="CK70" i="7"/>
  <c r="CK63" i="7"/>
  <c r="CK65" i="7"/>
  <c r="CK69" i="7"/>
  <c r="CM80" i="7" l="1"/>
  <c r="CM81" i="7"/>
  <c r="CM82" i="7"/>
  <c r="CM83" i="7"/>
  <c r="CL65" i="7"/>
  <c r="CL68" i="7"/>
  <c r="CL69" i="7"/>
  <c r="CL63" i="7"/>
  <c r="CL70" i="7"/>
  <c r="CL67" i="7"/>
  <c r="CM52" i="7"/>
  <c r="CM49" i="7"/>
  <c r="CM53" i="7"/>
  <c r="CM55" i="7"/>
  <c r="CM50" i="7"/>
  <c r="CM54" i="7"/>
  <c r="CM48" i="7"/>
  <c r="CN80" i="7" l="1"/>
  <c r="CN81" i="7"/>
  <c r="CN82" i="7"/>
  <c r="CN83" i="7"/>
  <c r="CM65" i="7"/>
  <c r="CM70" i="7"/>
  <c r="CM68" i="7"/>
  <c r="CM67" i="7"/>
  <c r="CM63" i="7"/>
  <c r="CM69" i="7"/>
  <c r="CN50" i="7"/>
  <c r="CN52" i="7"/>
  <c r="CN55" i="7"/>
  <c r="CN54" i="7"/>
  <c r="CN53" i="7"/>
  <c r="CN49" i="7"/>
  <c r="CN48" i="7"/>
  <c r="CO81" i="7" l="1"/>
  <c r="CO80" i="7"/>
  <c r="CO83" i="7"/>
  <c r="CO82" i="7"/>
  <c r="CO50" i="7"/>
  <c r="CO52" i="7"/>
  <c r="CO55" i="7"/>
  <c r="CO54" i="7"/>
  <c r="CO53" i="7"/>
  <c r="CO49" i="7"/>
  <c r="CO48" i="7"/>
  <c r="CN65" i="7"/>
  <c r="CN69" i="7"/>
  <c r="CN68" i="7"/>
  <c r="CN70" i="7"/>
  <c r="CN67" i="7"/>
  <c r="CN63" i="7"/>
  <c r="CP81" i="7" l="1"/>
  <c r="CP80" i="7"/>
  <c r="CP82" i="7"/>
  <c r="CP83" i="7"/>
  <c r="CP55" i="7"/>
  <c r="CP50" i="7"/>
  <c r="CP53" i="7"/>
  <c r="CP52" i="7"/>
  <c r="CP49" i="7"/>
  <c r="CP54" i="7"/>
  <c r="CP48" i="7"/>
  <c r="CO65" i="7"/>
  <c r="CO63" i="7"/>
  <c r="CO69" i="7"/>
  <c r="CO67" i="7"/>
  <c r="CO70" i="7"/>
  <c r="CO68" i="7"/>
  <c r="CQ83" i="7" l="1"/>
  <c r="CQ82" i="7"/>
  <c r="CQ80" i="7"/>
  <c r="CQ81" i="7"/>
  <c r="CQ52" i="7"/>
  <c r="CQ50" i="7"/>
  <c r="CQ55" i="7"/>
  <c r="CQ54" i="7"/>
  <c r="CQ53" i="7"/>
  <c r="CQ49" i="7"/>
  <c r="CQ48" i="7"/>
  <c r="CP63" i="7"/>
  <c r="CP69" i="7"/>
  <c r="CP70" i="7"/>
  <c r="CP65" i="7"/>
  <c r="CP67" i="7"/>
  <c r="CP68" i="7"/>
  <c r="CR82" i="7" l="1"/>
  <c r="CR83" i="7"/>
  <c r="CR80" i="7"/>
  <c r="CR81" i="7"/>
  <c r="CQ69" i="7"/>
  <c r="CQ70" i="7"/>
  <c r="CQ63" i="7"/>
  <c r="CQ67" i="7"/>
  <c r="CQ68" i="7"/>
  <c r="CQ65" i="7"/>
  <c r="CR52" i="7"/>
  <c r="CR49" i="7"/>
  <c r="CR53" i="7"/>
  <c r="CR55" i="7"/>
  <c r="CR54" i="7"/>
  <c r="CR50" i="7"/>
  <c r="CR48" i="7"/>
  <c r="CS82" i="7" l="1"/>
  <c r="CS83" i="7"/>
  <c r="CS80" i="7"/>
  <c r="CS81" i="7"/>
  <c r="CR70" i="7"/>
  <c r="CR69" i="7"/>
  <c r="CR63" i="7"/>
  <c r="CR68" i="7"/>
  <c r="CR67" i="7"/>
  <c r="CR65" i="7"/>
  <c r="CS55" i="7"/>
  <c r="CS54" i="7"/>
  <c r="CS52" i="7"/>
  <c r="CS50" i="7"/>
  <c r="CS49" i="7"/>
  <c r="CS53" i="7"/>
  <c r="CS48" i="7"/>
  <c r="CT80" i="7" l="1"/>
  <c r="CT81" i="7"/>
  <c r="CT82" i="7"/>
  <c r="CT83" i="7"/>
  <c r="CS70" i="7"/>
  <c r="CS69" i="7"/>
  <c r="CS63" i="7"/>
  <c r="CS68" i="7"/>
  <c r="CS67" i="7"/>
  <c r="CS65" i="7"/>
  <c r="CT49" i="7"/>
  <c r="CT52" i="7"/>
  <c r="CT53" i="7"/>
  <c r="CT54" i="7"/>
  <c r="CT55" i="7"/>
  <c r="CT50" i="7"/>
  <c r="CT48" i="7"/>
  <c r="CU81" i="7" l="1"/>
  <c r="CU80" i="7"/>
  <c r="CU82" i="7"/>
  <c r="CU83" i="7"/>
  <c r="CT69" i="7"/>
  <c r="CT68" i="7"/>
  <c r="CT63" i="7"/>
  <c r="CT70" i="7"/>
  <c r="CT67" i="7"/>
  <c r="CT65" i="7"/>
  <c r="CU53" i="7"/>
  <c r="CU55" i="7"/>
  <c r="CU50" i="7"/>
  <c r="CU54" i="7"/>
  <c r="CU49" i="7"/>
  <c r="CU52" i="7"/>
  <c r="CU48" i="7"/>
  <c r="CV80" i="7" l="1"/>
  <c r="CV81" i="7"/>
  <c r="CV82" i="7"/>
  <c r="CV83" i="7"/>
  <c r="CV52" i="7"/>
  <c r="CV50" i="7"/>
  <c r="CV49" i="7"/>
  <c r="CV55" i="7"/>
  <c r="CV54" i="7"/>
  <c r="CV53" i="7"/>
  <c r="CV48" i="7"/>
  <c r="CU67" i="7"/>
  <c r="CU69" i="7"/>
  <c r="CU68" i="7"/>
  <c r="CU65" i="7"/>
  <c r="CU70" i="7"/>
  <c r="CU63" i="7"/>
  <c r="CW83" i="7" l="1"/>
  <c r="CW82" i="7"/>
  <c r="CW81" i="7"/>
  <c r="CW80" i="7"/>
  <c r="CW49" i="7"/>
  <c r="CW55" i="7"/>
  <c r="CW53" i="7"/>
  <c r="CW54" i="7"/>
  <c r="CW52" i="7"/>
  <c r="CW50" i="7"/>
  <c r="CW48" i="7"/>
  <c r="CV70" i="7"/>
  <c r="CV63" i="7"/>
  <c r="CV69" i="7"/>
  <c r="CV68" i="7"/>
  <c r="CV67" i="7"/>
  <c r="CV65" i="7"/>
  <c r="CX83" i="7" l="1"/>
  <c r="CX82" i="7"/>
  <c r="CX80" i="7"/>
  <c r="CX81" i="7"/>
  <c r="CX50" i="7"/>
  <c r="CX54" i="7"/>
  <c r="CX55" i="7"/>
  <c r="CX49" i="7"/>
  <c r="CX52" i="7"/>
  <c r="CX53" i="7"/>
  <c r="CX48" i="7"/>
  <c r="CW65" i="7"/>
  <c r="CW67" i="7"/>
  <c r="CW68" i="7"/>
  <c r="CW63" i="7"/>
  <c r="CW69" i="7"/>
  <c r="CW70" i="7"/>
  <c r="CY82" i="7" l="1"/>
  <c r="CY83" i="7"/>
  <c r="AF60" i="6" s="1"/>
  <c r="CY80" i="7"/>
  <c r="CY81" i="7"/>
  <c r="AF59" i="6" s="1"/>
  <c r="CX70" i="7"/>
  <c r="CX67" i="7"/>
  <c r="CX63" i="7"/>
  <c r="CX69" i="7"/>
  <c r="CX68" i="7"/>
  <c r="CX65" i="7"/>
  <c r="CY55" i="7"/>
  <c r="CY52" i="7"/>
  <c r="CY53" i="7"/>
  <c r="CY49" i="7"/>
  <c r="CY54" i="7"/>
  <c r="CY50" i="7"/>
  <c r="CY48" i="7"/>
  <c r="AF25" i="6" l="1"/>
  <c r="I46" i="6"/>
  <c r="G35" i="6"/>
  <c r="J36" i="6"/>
  <c r="AF21" i="6"/>
  <c r="G36" i="6"/>
  <c r="I54" i="6"/>
  <c r="I57" i="6" s="1"/>
  <c r="C56" i="6" s="1"/>
  <c r="CY65" i="7"/>
  <c r="CY63" i="7"/>
  <c r="CY67" i="7"/>
  <c r="CY70" i="7"/>
  <c r="CY68" i="7"/>
  <c r="CY69" i="7"/>
  <c r="DA56" i="7"/>
  <c r="D58" i="7" s="1"/>
  <c r="M36" i="6" l="1"/>
  <c r="AH28" i="6"/>
  <c r="AF28" i="6"/>
  <c r="AF30" i="6"/>
  <c r="AF29" i="6" s="1"/>
  <c r="AA9" i="6"/>
  <c r="DA71" i="7"/>
  <c r="D73" i="7" s="1"/>
  <c r="AZ56" i="7"/>
  <c r="AS56" i="7"/>
  <c r="BW56" i="7"/>
  <c r="CL56" i="7"/>
  <c r="CX56" i="7"/>
  <c r="BK56" i="7"/>
  <c r="BT56" i="7"/>
  <c r="BF56" i="7"/>
  <c r="I56" i="7"/>
  <c r="CU56" i="7"/>
  <c r="O56" i="7"/>
  <c r="CA56" i="7"/>
  <c r="AL56" i="7"/>
  <c r="BU56" i="7"/>
  <c r="J56" i="7"/>
  <c r="BA56" i="7"/>
  <c r="BV56" i="7"/>
  <c r="BZ56" i="7"/>
  <c r="CV56" i="7"/>
  <c r="H56" i="7"/>
  <c r="CK56" i="7"/>
  <c r="K56" i="7"/>
  <c r="BI56" i="7"/>
  <c r="AO56" i="7"/>
  <c r="AU56" i="7"/>
  <c r="R56" i="7"/>
  <c r="CJ56" i="7"/>
  <c r="AB56" i="7"/>
  <c r="CD56" i="7"/>
  <c r="BM56" i="7"/>
  <c r="S56" i="7"/>
  <c r="AC56" i="7"/>
  <c r="AY56" i="7"/>
  <c r="AX56" i="7"/>
  <c r="CB56" i="7"/>
  <c r="U56" i="7"/>
  <c r="BD56" i="7"/>
  <c r="L56" i="7"/>
  <c r="BH56" i="7"/>
  <c r="BE56" i="7"/>
  <c r="CT56" i="7"/>
  <c r="W56" i="7"/>
  <c r="AK56" i="7"/>
  <c r="BR56" i="7"/>
  <c r="CI56" i="7"/>
  <c r="CM56" i="7"/>
  <c r="AP56" i="7"/>
  <c r="F56" i="7"/>
  <c r="D56" i="7"/>
  <c r="AH56" i="7"/>
  <c r="CW56" i="7"/>
  <c r="AN56" i="7"/>
  <c r="Z56" i="7"/>
  <c r="BJ56" i="7"/>
  <c r="BQ56" i="7"/>
  <c r="AI56" i="7"/>
  <c r="AT56" i="7"/>
  <c r="CY56" i="7"/>
  <c r="AA56" i="7"/>
  <c r="Q56" i="7"/>
  <c r="C56" i="7"/>
  <c r="BL56" i="7"/>
  <c r="AV56" i="7"/>
  <c r="E56" i="7"/>
  <c r="AF56" i="7"/>
  <c r="AR56" i="7"/>
  <c r="BN56" i="7"/>
  <c r="X56" i="7"/>
  <c r="BO56" i="7"/>
  <c r="AJ56" i="7"/>
  <c r="V56" i="7"/>
  <c r="AQ56" i="7"/>
  <c r="BS56" i="7"/>
  <c r="BB56" i="7"/>
  <c r="CF56" i="7"/>
  <c r="BC56" i="7"/>
  <c r="CQ56" i="7"/>
  <c r="CG56" i="7"/>
  <c r="BY56" i="7"/>
  <c r="CH56" i="7"/>
  <c r="T56" i="7"/>
  <c r="Y56" i="7"/>
  <c r="CS56" i="7"/>
  <c r="CE56" i="7"/>
  <c r="BP56" i="7"/>
  <c r="AD56" i="7"/>
  <c r="AW56" i="7"/>
  <c r="N56" i="7"/>
  <c r="CN56" i="7"/>
  <c r="AM56" i="7"/>
  <c r="G56" i="7"/>
  <c r="M56" i="7"/>
  <c r="BG56" i="7"/>
  <c r="AE56" i="7"/>
  <c r="CR56" i="7"/>
  <c r="AG56" i="7"/>
  <c r="CO56" i="7"/>
  <c r="CC56" i="7"/>
  <c r="P56" i="7"/>
  <c r="BX56" i="7"/>
  <c r="CP56" i="7"/>
  <c r="AH29" i="6" l="1"/>
  <c r="AG29" i="6"/>
  <c r="AJ29" i="6" s="1"/>
  <c r="AG28" i="6"/>
  <c r="AJ28" i="6" s="1"/>
  <c r="C71" i="7"/>
  <c r="C84" i="7" s="1"/>
  <c r="AP71" i="7"/>
  <c r="AP84" i="7" s="1"/>
  <c r="CJ71" i="7"/>
  <c r="CJ84" i="7" s="1"/>
  <c r="BZ71" i="7"/>
  <c r="BZ84" i="7" s="1"/>
  <c r="F71" i="7"/>
  <c r="F84" i="7" s="1"/>
  <c r="CE71" i="7"/>
  <c r="CE84" i="7" s="1"/>
  <c r="BW71" i="7"/>
  <c r="BW84" i="7" s="1"/>
  <c r="V71" i="7"/>
  <c r="V84" i="7" s="1"/>
  <c r="AK71" i="7"/>
  <c r="AK84" i="7" s="1"/>
  <c r="BM71" i="7"/>
  <c r="BM84" i="7" s="1"/>
  <c r="CO71" i="7"/>
  <c r="CO84" i="7" s="1"/>
  <c r="BF71" i="7"/>
  <c r="BF84" i="7" s="1"/>
  <c r="E71" i="7"/>
  <c r="E84" i="7" s="1"/>
  <c r="T71" i="7"/>
  <c r="T84" i="7" s="1"/>
  <c r="I71" i="7"/>
  <c r="I84" i="7" s="1"/>
  <c r="D71" i="7"/>
  <c r="D84" i="7" s="1"/>
  <c r="BP71" i="7"/>
  <c r="BP84" i="7" s="1"/>
  <c r="M71" i="7"/>
  <c r="M84" i="7" s="1"/>
  <c r="AV71" i="7"/>
  <c r="AV84" i="7" s="1"/>
  <c r="L71" i="7"/>
  <c r="L84" i="7" s="1"/>
  <c r="AG71" i="7"/>
  <c r="AG84" i="7" s="1"/>
  <c r="J71" i="7"/>
  <c r="J84" i="7" s="1"/>
  <c r="BR71" i="7"/>
  <c r="BR84" i="7" s="1"/>
  <c r="CU71" i="7"/>
  <c r="CU84" i="7" s="1"/>
  <c r="Q71" i="7"/>
  <c r="Q84" i="7" s="1"/>
  <c r="CS71" i="7"/>
  <c r="CS84" i="7" s="1"/>
  <c r="CD71" i="7"/>
  <c r="CD84" i="7" s="1"/>
  <c r="AI71" i="7"/>
  <c r="AI84" i="7" s="1"/>
  <c r="W71" i="7"/>
  <c r="W84" i="7" s="1"/>
  <c r="N71" i="7"/>
  <c r="N84" i="7" s="1"/>
  <c r="BE71" i="7"/>
  <c r="BE84" i="7" s="1"/>
  <c r="BO71" i="7"/>
  <c r="BO84" i="7" s="1"/>
  <c r="AX71" i="7"/>
  <c r="AX84" i="7" s="1"/>
  <c r="AZ71" i="7"/>
  <c r="AZ84" i="7" s="1"/>
  <c r="AL71" i="7"/>
  <c r="AL84" i="7" s="1"/>
  <c r="CH71" i="7"/>
  <c r="CH84" i="7" s="1"/>
  <c r="AO71" i="7"/>
  <c r="AO84" i="7" s="1"/>
  <c r="CC71" i="7"/>
  <c r="CC84" i="7" s="1"/>
  <c r="CV71" i="7"/>
  <c r="CV84" i="7" s="1"/>
  <c r="CB71" i="7"/>
  <c r="CB84" i="7" s="1"/>
  <c r="CI71" i="7"/>
  <c r="CI84" i="7" s="1"/>
  <c r="R71" i="7"/>
  <c r="R84" i="7" s="1"/>
  <c r="AJ71" i="7"/>
  <c r="AJ84" i="7" s="1"/>
  <c r="CP71" i="7"/>
  <c r="CP84" i="7" s="1"/>
  <c r="CW71" i="7"/>
  <c r="CW84" i="7" s="1"/>
  <c r="BC71" i="7"/>
  <c r="BC84" i="7" s="1"/>
  <c r="H71" i="7"/>
  <c r="H84" i="7" s="1"/>
  <c r="CT71" i="7"/>
  <c r="CT84" i="7" s="1"/>
  <c r="P71" i="7"/>
  <c r="P84" i="7" s="1"/>
  <c r="AW71" i="7"/>
  <c r="AW84" i="7" s="1"/>
  <c r="AR71" i="7"/>
  <c r="AR84" i="7" s="1"/>
  <c r="BK71" i="7"/>
  <c r="BK84" i="7" s="1"/>
  <c r="AU71" i="7"/>
  <c r="AU84" i="7" s="1"/>
  <c r="CQ71" i="7"/>
  <c r="CQ84" i="7" s="1"/>
  <c r="BN71" i="7"/>
  <c r="BN84" i="7" s="1"/>
  <c r="AF71" i="7"/>
  <c r="AF84" i="7" s="1"/>
  <c r="Z71" i="7"/>
  <c r="Z84" i="7" s="1"/>
  <c r="BA71" i="7"/>
  <c r="BA84" i="7" s="1"/>
  <c r="BX71" i="7"/>
  <c r="BX84" i="7" s="1"/>
  <c r="AH71" i="7"/>
  <c r="AH84" i="7" s="1"/>
  <c r="AT71" i="7"/>
  <c r="AT84" i="7" s="1"/>
  <c r="AN71" i="7"/>
  <c r="AN84" i="7" s="1"/>
  <c r="BT71" i="7"/>
  <c r="BT84" i="7" s="1"/>
  <c r="K71" i="7"/>
  <c r="K84" i="7" s="1"/>
  <c r="BU71" i="7"/>
  <c r="BU84" i="7" s="1"/>
  <c r="S71" i="7"/>
  <c r="S84" i="7" s="1"/>
  <c r="AD71" i="7"/>
  <c r="AD84" i="7" s="1"/>
  <c r="CF71" i="7"/>
  <c r="CF84" i="7" s="1"/>
  <c r="AC71" i="7"/>
  <c r="AC84" i="7" s="1"/>
  <c r="AA71" i="7"/>
  <c r="AA84" i="7" s="1"/>
  <c r="CX71" i="7"/>
  <c r="CX84" i="7" s="1"/>
  <c r="BD71" i="7"/>
  <c r="BD84" i="7" s="1"/>
  <c r="CA71" i="7"/>
  <c r="CA84" i="7" s="1"/>
  <c r="AM71" i="7"/>
  <c r="AM84" i="7" s="1"/>
  <c r="BL71" i="7"/>
  <c r="BL84" i="7" s="1"/>
  <c r="CN71" i="7"/>
  <c r="CN84" i="7" s="1"/>
  <c r="BI71" i="7"/>
  <c r="BI84" i="7" s="1"/>
  <c r="BS71" i="7"/>
  <c r="BS84" i="7" s="1"/>
  <c r="AB71" i="7"/>
  <c r="AB84" i="7" s="1"/>
  <c r="AS71" i="7"/>
  <c r="AS84" i="7" s="1"/>
  <c r="BB71" i="7"/>
  <c r="BB84" i="7" s="1"/>
  <c r="G71" i="7"/>
  <c r="G84" i="7" s="1"/>
  <c r="BH71" i="7"/>
  <c r="BH84" i="7" s="1"/>
  <c r="AE71" i="7"/>
  <c r="AE84" i="7" s="1"/>
  <c r="BV71" i="7"/>
  <c r="BV84" i="7" s="1"/>
  <c r="CK71" i="7"/>
  <c r="CK84" i="7" s="1"/>
  <c r="U71" i="7"/>
  <c r="U84" i="7" s="1"/>
  <c r="BQ71" i="7"/>
  <c r="BQ84" i="7" s="1"/>
  <c r="BJ71" i="7"/>
  <c r="BJ84" i="7" s="1"/>
  <c r="CM71" i="7"/>
  <c r="CM84" i="7" s="1"/>
  <c r="BG71" i="7"/>
  <c r="BG84" i="7" s="1"/>
  <c r="Y71" i="7"/>
  <c r="Y84" i="7" s="1"/>
  <c r="CR71" i="7"/>
  <c r="CR84" i="7" s="1"/>
  <c r="X71" i="7"/>
  <c r="X84" i="7" s="1"/>
  <c r="AQ71" i="7"/>
  <c r="AQ84" i="7" s="1"/>
  <c r="CY71" i="7"/>
  <c r="CY84" i="7" s="1"/>
  <c r="CG71" i="7"/>
  <c r="CG84" i="7" s="1"/>
  <c r="O71" i="7"/>
  <c r="O84" i="7" s="1"/>
  <c r="AY71" i="7"/>
  <c r="AY84" i="7" s="1"/>
  <c r="CL71" i="7"/>
  <c r="CL84" i="7" s="1"/>
  <c r="BY71" i="7"/>
  <c r="BY84" i="7" s="1"/>
  <c r="AJ31" i="6" l="1"/>
  <c r="AK85" i="7"/>
  <c r="AK86" i="7" s="1"/>
  <c r="AW85" i="7"/>
  <c r="AW86" i="7" s="1"/>
  <c r="AC85" i="7"/>
  <c r="AC86" i="7" s="1"/>
  <c r="AG85" i="7"/>
  <c r="AG86" i="7" s="1"/>
  <c r="Y85" i="7"/>
  <c r="Y86" i="7" s="1"/>
  <c r="AT85" i="7"/>
  <c r="AT86" i="7" s="1"/>
  <c r="AS85" i="7"/>
  <c r="AS86" i="7" s="1"/>
  <c r="BQ85" i="7"/>
  <c r="BQ86" i="7" s="1"/>
  <c r="AE85" i="7"/>
  <c r="AE86" i="7" s="1"/>
  <c r="F85" i="7"/>
  <c r="F86" i="7" s="1"/>
  <c r="BZ85" i="7"/>
  <c r="BZ86" i="7" s="1"/>
  <c r="AU85" i="7"/>
  <c r="AU86" i="7" s="1"/>
  <c r="C85" i="7"/>
  <c r="BU85" i="7"/>
  <c r="BU86" i="7" s="1"/>
  <c r="V85" i="7"/>
  <c r="V86" i="7" s="1"/>
  <c r="CL85" i="7"/>
  <c r="CL86" i="7" s="1"/>
  <c r="E85" i="7"/>
  <c r="E86" i="7" s="1"/>
  <c r="AH85" i="7"/>
  <c r="AH86" i="7" s="1"/>
  <c r="CT85" i="7"/>
  <c r="CT86" i="7" s="1"/>
  <c r="BS85" i="7"/>
  <c r="BS86" i="7" s="1"/>
  <c r="L85" i="7"/>
  <c r="L86" i="7" s="1"/>
  <c r="BI85" i="7"/>
  <c r="BI86" i="7" s="1"/>
  <c r="CF85" i="7"/>
  <c r="CF86" i="7" s="1"/>
  <c r="BA85" i="7"/>
  <c r="BA86" i="7" s="1"/>
  <c r="CH85" i="7"/>
  <c r="CH86" i="7" s="1"/>
  <c r="CY85" i="7"/>
  <c r="CY86" i="7" s="1"/>
  <c r="CI85" i="7"/>
  <c r="CI86" i="7" s="1"/>
  <c r="CN85" i="7"/>
  <c r="CN86" i="7" s="1"/>
  <c r="CG85" i="7"/>
  <c r="CG86" i="7" s="1"/>
  <c r="BH85" i="7"/>
  <c r="BH86" i="7" s="1"/>
  <c r="I85" i="7"/>
  <c r="I86" i="7" s="1"/>
  <c r="AJ85" i="7"/>
  <c r="AJ86" i="7" s="1"/>
  <c r="H85" i="7"/>
  <c r="H86" i="7" s="1"/>
  <c r="AN85" i="7"/>
  <c r="AN86" i="7" s="1"/>
  <c r="AM85" i="7"/>
  <c r="AM86" i="7" s="1"/>
  <c r="CD85" i="7"/>
  <c r="CD86" i="7" s="1"/>
  <c r="C86" i="7"/>
  <c r="BG85" i="7"/>
  <c r="BG86" i="7" s="1"/>
  <c r="AF61" i="6"/>
  <c r="J85" i="7"/>
  <c r="J86" i="7" s="1"/>
  <c r="S85" i="7"/>
  <c r="S86" i="7" s="1"/>
  <c r="AP85" i="7"/>
  <c r="AP86" i="7" s="1"/>
  <c r="AV85" i="7"/>
  <c r="AV86" i="7" s="1"/>
  <c r="BY85" i="7"/>
  <c r="BY86" i="7" s="1"/>
  <c r="CR85" i="7"/>
  <c r="CR86" i="7" s="1"/>
  <c r="BF85" i="7"/>
  <c r="BF86" i="7" s="1"/>
  <c r="AO85" i="7"/>
  <c r="AO86" i="7" s="1"/>
  <c r="BE85" i="7"/>
  <c r="BE86" i="7" s="1"/>
  <c r="AI85" i="7"/>
  <c r="AI86" i="7" s="1"/>
  <c r="AQ85" i="7"/>
  <c r="AQ86" i="7" s="1"/>
  <c r="N85" i="7"/>
  <c r="N86" i="7" s="1"/>
  <c r="BK85" i="7"/>
  <c r="BK86" i="7" s="1"/>
  <c r="AX85" i="7"/>
  <c r="AX86" i="7" s="1"/>
  <c r="AR85" i="7"/>
  <c r="AR86" i="7" s="1"/>
  <c r="AZ85" i="7"/>
  <c r="AZ86" i="7" s="1"/>
  <c r="BV85" i="7"/>
  <c r="BV86" i="7" s="1"/>
  <c r="AY85" i="7"/>
  <c r="AY86" i="7" s="1"/>
  <c r="D85" i="7"/>
  <c r="D86" i="7" s="1"/>
  <c r="AF85" i="7"/>
  <c r="AF86" i="7" s="1"/>
  <c r="T85" i="7"/>
  <c r="T86" i="7" s="1"/>
  <c r="CO85" i="7"/>
  <c r="CO86" i="7" s="1"/>
  <c r="K85" i="7"/>
  <c r="K86" i="7" s="1"/>
  <c r="BJ85" i="7"/>
  <c r="BJ86" i="7" s="1"/>
  <c r="AD85" i="7"/>
  <c r="AD86" i="7" s="1"/>
  <c r="BT85" i="7"/>
  <c r="BT86" i="7" s="1"/>
  <c r="O85" i="7"/>
  <c r="O86" i="7" s="1"/>
  <c r="CJ85" i="7"/>
  <c r="CJ86" i="7" s="1"/>
  <c r="AA85" i="7"/>
  <c r="AA86" i="7" s="1"/>
  <c r="G85" i="7"/>
  <c r="G86" i="7" s="1"/>
  <c r="U85" i="7"/>
  <c r="U86" i="7" s="1"/>
  <c r="X85" i="7"/>
  <c r="X86" i="7" s="1"/>
  <c r="CE85" i="7"/>
  <c r="CE86" i="7" s="1"/>
  <c r="BX85" i="7"/>
  <c r="BX86" i="7" s="1"/>
  <c r="R85" i="7"/>
  <c r="R86" i="7" s="1"/>
  <c r="AL85" i="7"/>
  <c r="AL86" i="7" s="1"/>
  <c r="CQ85" i="7"/>
  <c r="CQ86" i="7" s="1"/>
  <c r="CM85" i="7"/>
  <c r="CM86" i="7" s="1"/>
  <c r="BW85" i="7"/>
  <c r="BW86" i="7" s="1"/>
  <c r="CV85" i="7"/>
  <c r="CV86" i="7" s="1"/>
  <c r="CB85" i="7"/>
  <c r="CB86" i="7" s="1"/>
  <c r="CW85" i="7"/>
  <c r="CW86" i="7" s="1"/>
  <c r="BN85" i="7"/>
  <c r="BN86" i="7" s="1"/>
  <c r="CS85" i="7"/>
  <c r="CS86" i="7" s="1"/>
  <c r="P85" i="7"/>
  <c r="P86" i="7" s="1"/>
  <c r="CA85" i="7"/>
  <c r="CA86" i="7" s="1"/>
  <c r="AB85" i="7"/>
  <c r="AB86" i="7" s="1"/>
  <c r="BR85" i="7"/>
  <c r="BR86" i="7" s="1"/>
  <c r="Q85" i="7"/>
  <c r="Q86" i="7" s="1"/>
  <c r="BC85" i="7"/>
  <c r="BC86" i="7" s="1"/>
  <c r="M85" i="7"/>
  <c r="M86" i="7" s="1"/>
  <c r="CU85" i="7"/>
  <c r="CU86" i="7" s="1"/>
  <c r="W85" i="7"/>
  <c r="W86" i="7" s="1"/>
  <c r="BB85" i="7"/>
  <c r="BB86" i="7" s="1"/>
  <c r="CX85" i="7"/>
  <c r="CX86" i="7" s="1"/>
  <c r="CK85" i="7"/>
  <c r="CK86" i="7" s="1"/>
  <c r="BD85" i="7"/>
  <c r="BD86" i="7" s="1"/>
  <c r="Z85" i="7"/>
  <c r="Z86" i="7" s="1"/>
  <c r="BO85" i="7"/>
  <c r="BO86" i="7" s="1"/>
  <c r="BP85" i="7"/>
  <c r="BP86" i="7" s="1"/>
  <c r="CP85" i="7"/>
  <c r="CP86" i="7" s="1"/>
  <c r="BM85" i="7"/>
  <c r="BM86" i="7" s="1"/>
  <c r="BL85" i="7"/>
  <c r="BL86" i="7" s="1"/>
  <c r="CC85" i="7"/>
  <c r="CC86" i="7" s="1"/>
  <c r="I50" i="6" l="1"/>
  <c r="M35" i="6" s="1"/>
  <c r="I47" i="6"/>
  <c r="J37" i="6"/>
  <c r="G37" i="6"/>
  <c r="I62" i="6"/>
  <c r="L62" i="6" s="1"/>
  <c r="M37" i="6"/>
  <c r="AF62" i="6"/>
  <c r="I51" i="6" l="1"/>
  <c r="AA8" i="6" s="1"/>
  <c r="J35" i="6"/>
  <c r="I64" i="6"/>
  <c r="AA10" i="6" s="1"/>
  <c r="G38" i="6"/>
  <c r="I67" i="6"/>
  <c r="L67" i="6" s="1"/>
  <c r="M38" i="6"/>
  <c r="J38" i="6"/>
  <c r="I69" i="6" l="1"/>
  <c r="AA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ziom</author>
  </authors>
  <commentList>
    <comment ref="E8" authorId="0" shapeId="0" xr:uid="{F49EBD7A-5350-479D-B064-2740D26C430B}">
      <text>
        <r>
          <rPr>
            <b/>
            <sz val="9"/>
            <color indexed="81"/>
            <rFont val="Tahoma"/>
            <family val="2"/>
          </rPr>
          <t>Locked in FREE LITE version of the spreadsheet</t>
        </r>
      </text>
    </comment>
    <comment ref="E12" authorId="0" shapeId="0" xr:uid="{46A65807-7ACD-42B0-AD8E-887BEFB3FA94}">
      <text>
        <r>
          <rPr>
            <b/>
            <sz val="9"/>
            <color indexed="81"/>
            <rFont val="Tahoma"/>
            <family val="2"/>
          </rPr>
          <t>Locked in FREE LITE version of the spreadsheet</t>
        </r>
      </text>
    </comment>
    <comment ref="G24" authorId="0" shapeId="0" xr:uid="{77520E84-7A90-464C-A601-6B5C04B52305}">
      <text>
        <r>
          <rPr>
            <b/>
            <sz val="9"/>
            <color indexed="81"/>
            <rFont val="Tahoma"/>
            <family val="2"/>
          </rPr>
          <t>Locked in FREE LITE version of the spreadsheet</t>
        </r>
      </text>
    </comment>
    <comment ref="M25" authorId="0" shapeId="0" xr:uid="{6FF6FF54-0256-4240-B755-D8CF46F74232}">
      <text>
        <r>
          <rPr>
            <b/>
            <sz val="9"/>
            <color indexed="81"/>
            <rFont val="Tahoma"/>
            <family val="2"/>
          </rPr>
          <t>Locked in FREE LITE version of the spreadsheet</t>
        </r>
      </text>
    </comment>
  </commentList>
</comments>
</file>

<file path=xl/sharedStrings.xml><?xml version="1.0" encoding="utf-8"?>
<sst xmlns="http://schemas.openxmlformats.org/spreadsheetml/2006/main" count="486" uniqueCount="393">
  <si>
    <t>GENERAL DATA</t>
  </si>
  <si>
    <t>kN</t>
  </si>
  <si>
    <t>Dead</t>
  </si>
  <si>
    <t>length</t>
  </si>
  <si>
    <t>position from left</t>
  </si>
  <si>
    <t>mm</t>
  </si>
  <si>
    <t>Revision</t>
  </si>
  <si>
    <t>Page:</t>
  </si>
  <si>
    <t>Date:</t>
  </si>
  <si>
    <t>Job No:</t>
  </si>
  <si>
    <t>~~~~</t>
  </si>
  <si>
    <t>Prepared By:</t>
  </si>
  <si>
    <t xml:space="preserve">Member: </t>
  </si>
  <si>
    <t>For latest updates and news visit:</t>
  </si>
  <si>
    <t>Contact me at:</t>
  </si>
  <si>
    <t>Selected:</t>
  </si>
  <si>
    <t>LOADING</t>
  </si>
  <si>
    <t>kN/m</t>
  </si>
  <si>
    <t>m</t>
  </si>
  <si>
    <t>UDL =</t>
  </si>
  <si>
    <t>Imposed</t>
  </si>
  <si>
    <t>LOADING DIAGRAM</t>
  </si>
  <si>
    <t>Beam</t>
  </si>
  <si>
    <t>Supports</t>
  </si>
  <si>
    <t>UDL</t>
  </si>
  <si>
    <t>Live</t>
  </si>
  <si>
    <t>LL a</t>
  </si>
  <si>
    <t>LL b</t>
  </si>
  <si>
    <t>SUMMARY:</t>
  </si>
  <si>
    <t>moment</t>
  </si>
  <si>
    <t>shear</t>
  </si>
  <si>
    <t>Left Reaction =</t>
  </si>
  <si>
    <t>Right Reaction =</t>
  </si>
  <si>
    <t>SUMMARY OF RESULTS</t>
  </si>
  <si>
    <t>Usage factor =</t>
  </si>
  <si>
    <t>Total</t>
  </si>
  <si>
    <t>Step</t>
  </si>
  <si>
    <t>MOMENT AND SHEAR CALCULATIONS</t>
  </si>
  <si>
    <t>Moment live [kNm]</t>
  </si>
  <si>
    <t>Moment dead [kNm]</t>
  </si>
  <si>
    <t>Shear dead [kN]</t>
  </si>
  <si>
    <t>Shear live [kN]</t>
  </si>
  <si>
    <t>DEFLECTION: MACAULAY'S METHOD</t>
  </si>
  <si>
    <t>RULES</t>
  </si>
  <si>
    <t>EIw'" = -M</t>
  </si>
  <si>
    <r>
      <t>rotation: EIw' = Eiφ = -</t>
    </r>
    <r>
      <rPr>
        <sz val="12"/>
        <rFont val="Arial"/>
        <family val="2"/>
        <charset val="238"/>
      </rPr>
      <t>ʃ</t>
    </r>
    <r>
      <rPr>
        <sz val="10"/>
        <rFont val="Arial CE"/>
        <charset val="238"/>
      </rPr>
      <t>Mdx+A</t>
    </r>
  </si>
  <si>
    <r>
      <t>deflection: EIw = -</t>
    </r>
    <r>
      <rPr>
        <sz val="12"/>
        <rFont val="Arial"/>
        <family val="2"/>
        <charset val="238"/>
      </rPr>
      <t>ʃʃ</t>
    </r>
    <r>
      <rPr>
        <sz val="10"/>
        <rFont val="Arial CE"/>
        <charset val="238"/>
      </rPr>
      <t>Mdx+Ax+B</t>
    </r>
  </si>
  <si>
    <t>Reaction</t>
  </si>
  <si>
    <t>PLa</t>
  </si>
  <si>
    <t>PLb</t>
  </si>
  <si>
    <t>Ax+B</t>
  </si>
  <si>
    <t>DIAGRAMS</t>
  </si>
  <si>
    <t>Constant A</t>
  </si>
  <si>
    <t>Constant B</t>
  </si>
  <si>
    <t>DEAD (2nd integral)</t>
  </si>
  <si>
    <t>LIVE (2nd integral)</t>
  </si>
  <si>
    <t>Moment</t>
  </si>
  <si>
    <t>Shear</t>
  </si>
  <si>
    <t>Max Applied Moment =</t>
  </si>
  <si>
    <t>Max Applied Shear =</t>
  </si>
  <si>
    <t>Mass</t>
  </si>
  <si>
    <t>Depth</t>
  </si>
  <si>
    <t>Width</t>
  </si>
  <si>
    <t>t</t>
  </si>
  <si>
    <t>T</t>
  </si>
  <si>
    <t>r</t>
  </si>
  <si>
    <t>d</t>
  </si>
  <si>
    <t>Ixx</t>
  </si>
  <si>
    <t>Iyy</t>
  </si>
  <si>
    <t>rx</t>
  </si>
  <si>
    <t>ry</t>
  </si>
  <si>
    <t>Zx</t>
  </si>
  <si>
    <t>Zy</t>
  </si>
  <si>
    <t>Sx</t>
  </si>
  <si>
    <t>Sy</t>
  </si>
  <si>
    <t>u</t>
  </si>
  <si>
    <t>x</t>
  </si>
  <si>
    <t>H</t>
  </si>
  <si>
    <t>J</t>
  </si>
  <si>
    <t>A</t>
  </si>
  <si>
    <t>914x419x388</t>
  </si>
  <si>
    <t>914x419x343</t>
  </si>
  <si>
    <t>914x305x289</t>
  </si>
  <si>
    <t>914x305x253</t>
  </si>
  <si>
    <t>914x305x224</t>
  </si>
  <si>
    <t>914x305x201</t>
  </si>
  <si>
    <t>838x292x226</t>
  </si>
  <si>
    <t>838x292x194</t>
  </si>
  <si>
    <t>838x292x176</t>
  </si>
  <si>
    <t>762x267x197</t>
  </si>
  <si>
    <t>762x267x173</t>
  </si>
  <si>
    <t>762x267x147</t>
  </si>
  <si>
    <t>762x267x134</t>
  </si>
  <si>
    <t>686x254x170</t>
  </si>
  <si>
    <t>686x254x152</t>
  </si>
  <si>
    <t>686x254x140</t>
  </si>
  <si>
    <t>686x254x125</t>
  </si>
  <si>
    <t>610x305x238</t>
  </si>
  <si>
    <t>610x305x179</t>
  </si>
  <si>
    <t>610x305x149</t>
  </si>
  <si>
    <t>610x229x140</t>
  </si>
  <si>
    <t>610x229x125</t>
  </si>
  <si>
    <t>610x229x113</t>
  </si>
  <si>
    <t>610x229x101</t>
  </si>
  <si>
    <t>533x210x122</t>
  </si>
  <si>
    <t>533x210x109</t>
  </si>
  <si>
    <t>533x210x101</t>
  </si>
  <si>
    <t>533x210x92</t>
  </si>
  <si>
    <t>533x210x82</t>
  </si>
  <si>
    <t>457x191x98</t>
  </si>
  <si>
    <t>457x191x89</t>
  </si>
  <si>
    <t>457x191x82</t>
  </si>
  <si>
    <t>457x191x74</t>
  </si>
  <si>
    <t>457x191x67</t>
  </si>
  <si>
    <t>457x152x82</t>
  </si>
  <si>
    <t>457x152x74</t>
  </si>
  <si>
    <t>457x152x67</t>
  </si>
  <si>
    <t>457x152x60</t>
  </si>
  <si>
    <t>457x152x52</t>
  </si>
  <si>
    <t>406x178x74</t>
  </si>
  <si>
    <t>406x178x67</t>
  </si>
  <si>
    <t>406x178x60</t>
  </si>
  <si>
    <t>406x178x54</t>
  </si>
  <si>
    <t>406x140x46</t>
  </si>
  <si>
    <t>406x140x39</t>
  </si>
  <si>
    <t>356x171x67</t>
  </si>
  <si>
    <t>356x171x57</t>
  </si>
  <si>
    <t>356x171x51</t>
  </si>
  <si>
    <t>356x171x45</t>
  </si>
  <si>
    <t>356x127x39</t>
  </si>
  <si>
    <t>356x127x33</t>
  </si>
  <si>
    <t>305x165x54</t>
  </si>
  <si>
    <t>305x165x46</t>
  </si>
  <si>
    <t>305x165x40</t>
  </si>
  <si>
    <t>305x127x48</t>
  </si>
  <si>
    <t>305x127x42</t>
  </si>
  <si>
    <t>305x127x37</t>
  </si>
  <si>
    <t>305x102x33</t>
  </si>
  <si>
    <t>305x102x28</t>
  </si>
  <si>
    <t>305x102x25</t>
  </si>
  <si>
    <t>254x146x43</t>
  </si>
  <si>
    <t>254x146x37</t>
  </si>
  <si>
    <t>254x146x31</t>
  </si>
  <si>
    <t>254x102x28</t>
  </si>
  <si>
    <t>254x102x25</t>
  </si>
  <si>
    <t>254x102x22</t>
  </si>
  <si>
    <t>203x133x30</t>
  </si>
  <si>
    <t>203x133x25</t>
  </si>
  <si>
    <t>203x102x23</t>
  </si>
  <si>
    <t>178x102x19</t>
  </si>
  <si>
    <t>152x89x16</t>
  </si>
  <si>
    <t>127x76x13</t>
  </si>
  <si>
    <t>356x406x634</t>
  </si>
  <si>
    <t>356x406x551</t>
  </si>
  <si>
    <t>356x406x467</t>
  </si>
  <si>
    <t>356x406x393</t>
  </si>
  <si>
    <t>356x406x340</t>
  </si>
  <si>
    <t>356x406x287</t>
  </si>
  <si>
    <t>356x406x235</t>
  </si>
  <si>
    <t>356x368x202</t>
  </si>
  <si>
    <t>356x368x177</t>
  </si>
  <si>
    <t>356x368x153</t>
  </si>
  <si>
    <t>356x368x129</t>
  </si>
  <si>
    <t>305x305x283</t>
  </si>
  <si>
    <t>305x305x240</t>
  </si>
  <si>
    <t>305x305x198</t>
  </si>
  <si>
    <t>305x305x158</t>
  </si>
  <si>
    <t>305x305x137</t>
  </si>
  <si>
    <t>305x305x118</t>
  </si>
  <si>
    <t>305x305x97</t>
  </si>
  <si>
    <t>254x254x167</t>
  </si>
  <si>
    <t>254x254x132</t>
  </si>
  <si>
    <t>254x254x107</t>
  </si>
  <si>
    <t>254x254x89</t>
  </si>
  <si>
    <t>254x254x73</t>
  </si>
  <si>
    <t>203x203x127</t>
  </si>
  <si>
    <t>203x203x113</t>
  </si>
  <si>
    <t>203x203x100</t>
  </si>
  <si>
    <t>203x203x86</t>
  </si>
  <si>
    <t>203x203x71</t>
  </si>
  <si>
    <t>203x203x60</t>
  </si>
  <si>
    <t>203x203x52</t>
  </si>
  <si>
    <t>203x203x46</t>
  </si>
  <si>
    <t>152x152x37</t>
  </si>
  <si>
    <t>152x152x30</t>
  </si>
  <si>
    <t>152x152x23</t>
  </si>
  <si>
    <t>430x100x64</t>
  </si>
  <si>
    <t>380x100x54</t>
  </si>
  <si>
    <t>300x100x46</t>
  </si>
  <si>
    <t>300x90x41</t>
  </si>
  <si>
    <t>260x90x35</t>
  </si>
  <si>
    <t>260x75x28</t>
  </si>
  <si>
    <t>230x90x32</t>
  </si>
  <si>
    <t>230x75x26</t>
  </si>
  <si>
    <t>200x90x30</t>
  </si>
  <si>
    <t>200x75x23</t>
  </si>
  <si>
    <t>180x90x26</t>
  </si>
  <si>
    <t>180x75x20</t>
  </si>
  <si>
    <t>150x90x24</t>
  </si>
  <si>
    <t>150x75x18</t>
  </si>
  <si>
    <t>125x65x15</t>
  </si>
  <si>
    <t>100x50x10</t>
  </si>
  <si>
    <t>SECTIONS</t>
  </si>
  <si>
    <t>UB</t>
  </si>
  <si>
    <t>UC</t>
  </si>
  <si>
    <t>PFC</t>
  </si>
  <si>
    <t>Steel Grade:</t>
  </si>
  <si>
    <t>Steel grade:</t>
  </si>
  <si>
    <t>S275</t>
  </si>
  <si>
    <t>S355</t>
  </si>
  <si>
    <t>S460</t>
  </si>
  <si>
    <t>SECTION PROPERTIES</t>
  </si>
  <si>
    <t>Point Load 'a' =</t>
  </si>
  <si>
    <t>Point Load 'b' =</t>
  </si>
  <si>
    <t>SELECTED SECTION</t>
  </si>
  <si>
    <t>Selected Section:</t>
  </si>
  <si>
    <t>Lp</t>
  </si>
  <si>
    <t>SAFETY FACTORS</t>
  </si>
  <si>
    <r>
      <t>γ</t>
    </r>
    <r>
      <rPr>
        <vertAlign val="subscript"/>
        <sz val="10"/>
        <rFont val="Arial"/>
        <family val="2"/>
        <charset val="238"/>
      </rPr>
      <t>LL</t>
    </r>
    <r>
      <rPr>
        <sz val="10"/>
        <rFont val="Arial"/>
        <family val="2"/>
        <charset val="238"/>
      </rPr>
      <t xml:space="preserve"> =</t>
    </r>
  </si>
  <si>
    <r>
      <t>γ</t>
    </r>
    <r>
      <rPr>
        <vertAlign val="subscript"/>
        <sz val="10"/>
        <rFont val="Arial"/>
        <family val="2"/>
        <charset val="238"/>
      </rPr>
      <t>DL</t>
    </r>
    <r>
      <rPr>
        <sz val="10"/>
        <rFont val="Arial"/>
        <family val="2"/>
        <charset val="238"/>
      </rPr>
      <t xml:space="preserve"> =</t>
    </r>
  </si>
  <si>
    <r>
      <rPr>
        <b/>
        <sz val="10"/>
        <rFont val="Arial CE"/>
        <charset val="238"/>
      </rPr>
      <t xml:space="preserve">EFFECTIVE 
LENGTH </t>
    </r>
    <r>
      <rPr>
        <b/>
        <i/>
        <sz val="10"/>
        <rFont val="Arial CE"/>
        <charset val="238"/>
      </rPr>
      <t>[m]</t>
    </r>
    <r>
      <rPr>
        <b/>
        <sz val="10"/>
        <rFont val="Arial CE"/>
        <charset val="238"/>
      </rPr>
      <t xml:space="preserve"> =</t>
    </r>
  </si>
  <si>
    <t>Include s/w:</t>
  </si>
  <si>
    <t>kg/m</t>
  </si>
  <si>
    <t>cm</t>
  </si>
  <si>
    <r>
      <t>cm</t>
    </r>
    <r>
      <rPr>
        <i/>
        <vertAlign val="superscript"/>
        <sz val="10"/>
        <rFont val="Arial CE"/>
        <charset val="238"/>
      </rPr>
      <t>4</t>
    </r>
  </si>
  <si>
    <r>
      <t>cm</t>
    </r>
    <r>
      <rPr>
        <i/>
        <vertAlign val="superscript"/>
        <sz val="10"/>
        <rFont val="Arial CE"/>
        <charset val="238"/>
      </rPr>
      <t>3</t>
    </r>
  </si>
  <si>
    <t>D =</t>
  </si>
  <si>
    <t>B =</t>
  </si>
  <si>
    <t>t =</t>
  </si>
  <si>
    <t>T =</t>
  </si>
  <si>
    <t>r =</t>
  </si>
  <si>
    <t>d =</t>
  </si>
  <si>
    <t>A =</t>
  </si>
  <si>
    <t>weight =</t>
  </si>
  <si>
    <r>
      <t>I</t>
    </r>
    <r>
      <rPr>
        <vertAlign val="subscript"/>
        <sz val="10"/>
        <rFont val="Arial CE"/>
        <charset val="238"/>
      </rPr>
      <t>xx</t>
    </r>
    <r>
      <rPr>
        <sz val="10"/>
        <rFont val="Arial CE"/>
        <charset val="238"/>
      </rPr>
      <t xml:space="preserve"> =</t>
    </r>
  </si>
  <si>
    <r>
      <t>I</t>
    </r>
    <r>
      <rPr>
        <vertAlign val="subscript"/>
        <sz val="10"/>
        <rFont val="Arial CE"/>
        <charset val="238"/>
      </rPr>
      <t>yy</t>
    </r>
    <r>
      <rPr>
        <sz val="10"/>
        <rFont val="Arial CE"/>
        <charset val="238"/>
      </rPr>
      <t xml:space="preserve"> =</t>
    </r>
  </si>
  <si>
    <r>
      <t>Z</t>
    </r>
    <r>
      <rPr>
        <vertAlign val="subscript"/>
        <sz val="10"/>
        <rFont val="Arial CE"/>
        <charset val="238"/>
      </rPr>
      <t>x</t>
    </r>
    <r>
      <rPr>
        <sz val="10"/>
        <rFont val="Arial CE"/>
        <charset val="238"/>
      </rPr>
      <t xml:space="preserve"> =</t>
    </r>
  </si>
  <si>
    <r>
      <t>Z</t>
    </r>
    <r>
      <rPr>
        <vertAlign val="subscript"/>
        <sz val="10"/>
        <rFont val="Arial CE"/>
        <charset val="238"/>
      </rPr>
      <t>y</t>
    </r>
    <r>
      <rPr>
        <sz val="10"/>
        <rFont val="Arial CE"/>
        <charset val="238"/>
      </rPr>
      <t xml:space="preserve"> =</t>
    </r>
  </si>
  <si>
    <r>
      <t>S</t>
    </r>
    <r>
      <rPr>
        <vertAlign val="subscript"/>
        <sz val="10"/>
        <rFont val="Arial CE"/>
        <charset val="238"/>
      </rPr>
      <t>x</t>
    </r>
    <r>
      <rPr>
        <sz val="10"/>
        <rFont val="Arial CE"/>
        <charset val="238"/>
      </rPr>
      <t xml:space="preserve"> =</t>
    </r>
  </si>
  <si>
    <r>
      <t>S</t>
    </r>
    <r>
      <rPr>
        <vertAlign val="subscript"/>
        <sz val="10"/>
        <rFont val="Arial CE"/>
        <charset val="238"/>
      </rPr>
      <t>y</t>
    </r>
    <r>
      <rPr>
        <sz val="10"/>
        <rFont val="Arial CE"/>
        <charset val="238"/>
      </rPr>
      <t xml:space="preserve"> =</t>
    </r>
  </si>
  <si>
    <r>
      <t>r</t>
    </r>
    <r>
      <rPr>
        <vertAlign val="subscript"/>
        <sz val="10"/>
        <rFont val="Arial CE"/>
        <charset val="238"/>
      </rPr>
      <t>y</t>
    </r>
    <r>
      <rPr>
        <sz val="10"/>
        <rFont val="Arial CE"/>
        <charset val="238"/>
      </rPr>
      <t xml:space="preserve"> =</t>
    </r>
  </si>
  <si>
    <r>
      <t>r</t>
    </r>
    <r>
      <rPr>
        <vertAlign val="subscript"/>
        <sz val="10"/>
        <rFont val="Arial CE"/>
        <charset val="238"/>
      </rPr>
      <t>x</t>
    </r>
    <r>
      <rPr>
        <sz val="10"/>
        <rFont val="Arial CE"/>
        <charset val="238"/>
      </rPr>
      <t xml:space="preserve"> =</t>
    </r>
  </si>
  <si>
    <t>Partial UDL 'a' =</t>
  </si>
  <si>
    <t>Partial UDL 'b' =</t>
  </si>
  <si>
    <t>fy</t>
  </si>
  <si>
    <t>Classification:</t>
  </si>
  <si>
    <t>ε</t>
  </si>
  <si>
    <t>b/T</t>
  </si>
  <si>
    <t>d/t</t>
  </si>
  <si>
    <t>plastic</t>
  </si>
  <si>
    <t>compact</t>
  </si>
  <si>
    <t>semi-compact</t>
  </si>
  <si>
    <t>slender</t>
  </si>
  <si>
    <t>Shear capacity:</t>
  </si>
  <si>
    <t>Moment Capacity:</t>
  </si>
  <si>
    <t>Applied shear:</t>
  </si>
  <si>
    <t>Applied moment:</t>
  </si>
  <si>
    <t>Low shear</t>
  </si>
  <si>
    <t>High shear</t>
  </si>
  <si>
    <t>ρ</t>
  </si>
  <si>
    <t>limiting Mc:</t>
  </si>
  <si>
    <t>selected:</t>
  </si>
  <si>
    <t>Laterl torsional buckling</t>
  </si>
  <si>
    <t>constants:</t>
  </si>
  <si>
    <t>v</t>
  </si>
  <si>
    <t>βw</t>
  </si>
  <si>
    <t>λ</t>
  </si>
  <si>
    <t>λLT</t>
  </si>
  <si>
    <t>λ0</t>
  </si>
  <si>
    <t>pE</t>
  </si>
  <si>
    <t>ΦLT</t>
  </si>
  <si>
    <t>ŋLT</t>
  </si>
  <si>
    <t>pb</t>
  </si>
  <si>
    <t>Mb:</t>
  </si>
  <si>
    <t>mLT</t>
  </si>
  <si>
    <t>for destabilizing load</t>
  </si>
  <si>
    <t>Reaction:</t>
  </si>
  <si>
    <t>PUDL a</t>
  </si>
  <si>
    <t>PUDL b</t>
  </si>
  <si>
    <t>PUDL a contra</t>
  </si>
  <si>
    <t>PUDL b contra</t>
  </si>
  <si>
    <t>Moment (factored)</t>
  </si>
  <si>
    <t>Shear (factored)</t>
  </si>
  <si>
    <t>Max Moment:</t>
  </si>
  <si>
    <t>Max Shear:</t>
  </si>
  <si>
    <t>Deflection LL</t>
  </si>
  <si>
    <t>Deflection LL + DL</t>
  </si>
  <si>
    <t>Max Deflection LL =</t>
  </si>
  <si>
    <t>Max Deflection LL + DL=</t>
  </si>
  <si>
    <t>Max Deflection LL:</t>
  </si>
  <si>
    <t>Max Deflection LL + DL:</t>
  </si>
  <si>
    <r>
      <t xml:space="preserve">calculations are based on </t>
    </r>
    <r>
      <rPr>
        <b/>
        <sz val="8"/>
        <rFont val="Arial CE"/>
        <charset val="238"/>
      </rPr>
      <t>BS5950</t>
    </r>
    <r>
      <rPr>
        <sz val="8"/>
        <rFont val="Arial CE"/>
        <charset val="238"/>
      </rPr>
      <t>:1-2000</t>
    </r>
  </si>
  <si>
    <t>Allowable deflection LL =</t>
  </si>
  <si>
    <t>Actual deflection LL =</t>
  </si>
  <si>
    <t xml:space="preserve">Actual deflection LL+DL= </t>
  </si>
  <si>
    <t>(L/360)</t>
  </si>
  <si>
    <t>Allowable deflection LL+DL =</t>
  </si>
  <si>
    <t>LL</t>
  </si>
  <si>
    <t>deflection diagram:</t>
  </si>
  <si>
    <t>show</t>
  </si>
  <si>
    <t>deflection diagram</t>
  </si>
  <si>
    <t>LL+DL</t>
  </si>
  <si>
    <t>Deflection diagram</t>
  </si>
  <si>
    <t>Allowable moment =</t>
  </si>
  <si>
    <t>kNm</t>
  </si>
  <si>
    <t>DL+LL</t>
  </si>
  <si>
    <t>1016x305x393</t>
  </si>
  <si>
    <t>1016x305x314</t>
  </si>
  <si>
    <t>1016x305x272</t>
  </si>
  <si>
    <t>1016x305x249</t>
  </si>
  <si>
    <t>1016x305x222</t>
  </si>
  <si>
    <t>610x178x100</t>
  </si>
  <si>
    <t>610x178x82</t>
  </si>
  <si>
    <t>533x312x219</t>
  </si>
  <si>
    <t>533x312x182</t>
  </si>
  <si>
    <t>610x178x92</t>
  </si>
  <si>
    <t>533x210x138</t>
  </si>
  <si>
    <t>533x165x85</t>
  </si>
  <si>
    <t>533x165x66</t>
  </si>
  <si>
    <t>457x191x161</t>
  </si>
  <si>
    <t>457x191x133</t>
  </si>
  <si>
    <t>457x191x106</t>
  </si>
  <si>
    <t>406x178x85</t>
  </si>
  <si>
    <t>406x140x53</t>
  </si>
  <si>
    <t>152x152x51</t>
  </si>
  <si>
    <t>152x152x44</t>
  </si>
  <si>
    <t>UDL1d</t>
  </si>
  <si>
    <t>Section</t>
  </si>
  <si>
    <t>DETAILED RESULTS:</t>
  </si>
  <si>
    <t>DEFLECTION (SLS)</t>
  </si>
  <si>
    <t xml:space="preserve">DETAILED RESULTS: </t>
  </si>
  <si>
    <t>SHEAR (ULS)</t>
  </si>
  <si>
    <t>MOMENT (ULS)</t>
  </si>
  <si>
    <t>DJ</t>
  </si>
  <si>
    <r>
      <t>p</t>
    </r>
    <r>
      <rPr>
        <vertAlign val="subscript"/>
        <sz val="10"/>
        <rFont val="Arial CE"/>
        <charset val="238"/>
      </rPr>
      <t>y</t>
    </r>
    <r>
      <rPr>
        <i/>
        <sz val="10"/>
        <rFont val="Arial CE"/>
        <charset val="238"/>
      </rPr>
      <t xml:space="preserve"> [MPa]</t>
    </r>
    <r>
      <rPr>
        <sz val="10"/>
        <rFont val="Arial CE"/>
        <charset val="238"/>
      </rPr>
      <t xml:space="preserve"> </t>
    </r>
    <r>
      <rPr>
        <i/>
        <sz val="10"/>
        <rFont val="Arial CE"/>
        <charset val="238"/>
      </rPr>
      <t>=</t>
    </r>
  </si>
  <si>
    <r>
      <t xml:space="preserve">E </t>
    </r>
    <r>
      <rPr>
        <i/>
        <sz val="10"/>
        <rFont val="Arial"/>
        <family val="2"/>
        <charset val="238"/>
      </rPr>
      <t>[GPa]</t>
    </r>
    <r>
      <rPr>
        <sz val="10"/>
        <rFont val="Arial"/>
        <family val="2"/>
        <charset val="238"/>
      </rPr>
      <t xml:space="preserve"> =</t>
    </r>
  </si>
  <si>
    <t xml:space="preserve">         INCLUDE S/W</t>
  </si>
  <si>
    <t>(L/250) or 25</t>
  </si>
  <si>
    <r>
      <t>SPAN</t>
    </r>
    <r>
      <rPr>
        <b/>
        <i/>
        <sz val="10"/>
        <rFont val="Arial"/>
        <family val="2"/>
        <charset val="238"/>
      </rPr>
      <t xml:space="preserve"> [m]</t>
    </r>
    <r>
      <rPr>
        <b/>
        <sz val="10"/>
        <rFont val="Arial"/>
        <family val="2"/>
        <charset val="238"/>
      </rPr>
      <t xml:space="preserve"> =</t>
    </r>
  </si>
  <si>
    <t>Destabilizing load:</t>
  </si>
  <si>
    <r>
      <t xml:space="preserve">General information:
</t>
    </r>
    <r>
      <rPr>
        <sz val="10"/>
        <rFont val="Arial CE"/>
      </rPr>
      <t>Note: This spreadsheet contains macros.
To change company logo: right click it and select 'change picture'.</t>
    </r>
  </si>
  <si>
    <t>REACTIONS</t>
  </si>
  <si>
    <t>www.YourSpreadsheets.co.uk</t>
  </si>
  <si>
    <t>info@yourspreadsheets.co.uk</t>
  </si>
  <si>
    <r>
      <t xml:space="preserve">Spreadsheet provided by: </t>
    </r>
    <r>
      <rPr>
        <b/>
        <i/>
        <sz val="8"/>
        <rFont val="Arial CE"/>
      </rPr>
      <t>www.YourSpreadsheets.co.uk</t>
    </r>
  </si>
  <si>
    <r>
      <t>cm</t>
    </r>
    <r>
      <rPr>
        <i/>
        <vertAlign val="superscript"/>
        <sz val="10"/>
        <rFont val="Arial CE"/>
        <charset val="238"/>
      </rPr>
      <t>2</t>
    </r>
  </si>
  <si>
    <r>
      <t xml:space="preserve">© 2010-2019 </t>
    </r>
    <r>
      <rPr>
        <b/>
        <sz val="10"/>
        <rFont val="Arial CE"/>
      </rPr>
      <t>Damian Janicki</t>
    </r>
  </si>
  <si>
    <r>
      <t>Moment capacity M</t>
    </r>
    <r>
      <rPr>
        <vertAlign val="subscript"/>
        <sz val="10"/>
        <rFont val="Arial CE"/>
      </rPr>
      <t>c</t>
    </r>
    <r>
      <rPr>
        <sz val="10"/>
        <rFont val="Arial CE"/>
        <charset val="238"/>
      </rPr>
      <t xml:space="preserve"> =</t>
    </r>
  </si>
  <si>
    <r>
      <t>Buckling resistance moment M</t>
    </r>
    <r>
      <rPr>
        <vertAlign val="subscript"/>
        <sz val="10"/>
        <rFont val="Arial CE"/>
      </rPr>
      <t>b</t>
    </r>
    <r>
      <rPr>
        <sz val="10"/>
        <rFont val="Arial CE"/>
        <charset val="238"/>
      </rPr>
      <t xml:space="preserve"> =</t>
    </r>
  </si>
  <si>
    <t>ERROR</t>
  </si>
  <si>
    <t>checks are in the hidden row!</t>
  </si>
  <si>
    <r>
      <t>Shear capacity P</t>
    </r>
    <r>
      <rPr>
        <vertAlign val="subscript"/>
        <sz val="10"/>
        <rFont val="Arial CE"/>
      </rPr>
      <t>v</t>
    </r>
    <r>
      <rPr>
        <sz val="10"/>
        <rFont val="Arial CE"/>
        <charset val="238"/>
      </rPr>
      <t xml:space="preserve"> =</t>
    </r>
  </si>
  <si>
    <t>calcs for u and βw are in the hidden rows!</t>
  </si>
  <si>
    <t>not used</t>
  </si>
  <si>
    <r>
      <t>Maximum applied moment M</t>
    </r>
    <r>
      <rPr>
        <vertAlign val="subscript"/>
        <sz val="10"/>
        <rFont val="Arial CE"/>
      </rPr>
      <t>max</t>
    </r>
    <r>
      <rPr>
        <sz val="10"/>
        <rFont val="Arial CE"/>
        <charset val="238"/>
      </rPr>
      <t xml:space="preserve"> =</t>
    </r>
  </si>
  <si>
    <t>1016x305x584</t>
  </si>
  <si>
    <t>1016x305x494</t>
  </si>
  <si>
    <t>1016x305x438</t>
  </si>
  <si>
    <t>1016x305x415</t>
  </si>
  <si>
    <t>1016x305x350</t>
  </si>
  <si>
    <t>914x305x576</t>
  </si>
  <si>
    <t>914x305x521</t>
  </si>
  <si>
    <t>914x305x474</t>
  </si>
  <si>
    <t>914x305x425</t>
  </si>
  <si>
    <t>914x305x381</t>
  </si>
  <si>
    <t>914x305x345</t>
  </si>
  <si>
    <t>914x305x313</t>
  </si>
  <si>
    <t>914x305x271</t>
  </si>
  <si>
    <t>914x305x238</t>
  </si>
  <si>
    <t>533x312x273</t>
  </si>
  <si>
    <t>533x312x151</t>
  </si>
  <si>
    <t>533x165x75</t>
  </si>
  <si>
    <t>356x406x1299</t>
  </si>
  <si>
    <t>356x406x1202</t>
  </si>
  <si>
    <t>356x406x1086</t>
  </si>
  <si>
    <t>356x406x990</t>
  </si>
  <si>
    <t>356x406x900</t>
  </si>
  <si>
    <t>356x406x818</t>
  </si>
  <si>
    <t>356x406x744</t>
  </si>
  <si>
    <t>356x406x677</t>
  </si>
  <si>
    <t>356x406x592</t>
  </si>
  <si>
    <t>356x406x509</t>
  </si>
  <si>
    <r>
      <t>Maximum applied shear force F</t>
    </r>
    <r>
      <rPr>
        <vertAlign val="subscript"/>
        <sz val="10"/>
        <rFont val="Arial CE"/>
      </rPr>
      <t>v</t>
    </r>
    <r>
      <rPr>
        <sz val="10"/>
        <rFont val="Arial CE"/>
        <charset val="238"/>
      </rPr>
      <t xml:space="preserve"> =</t>
    </r>
  </si>
  <si>
    <r>
      <t xml:space="preserve">version: </t>
    </r>
    <r>
      <rPr>
        <b/>
        <sz val="10"/>
        <rFont val="Arial CE"/>
        <charset val="238"/>
      </rPr>
      <t>2.2.</t>
    </r>
    <r>
      <rPr>
        <sz val="10"/>
        <rFont val="Arial CE"/>
        <charset val="238"/>
      </rPr>
      <t xml:space="preserve"> - </t>
    </r>
    <r>
      <rPr>
        <b/>
        <sz val="10"/>
        <rFont val="Arial CE"/>
      </rPr>
      <t>FREE LITE VERSION</t>
    </r>
  </si>
  <si>
    <t>The Author takes no liability for use of this spreadsheet and gives no guarantee that it is error free. 
In no event shall the Author be responsible for any special, incidental or consequential damages whatsoever arising from the use of this spreadsheet, even if the Author has been advised of the possibility of such damage.
This spreadsheet is a freeware and can be distributed freely but only in its original form.
Reverse-engineering, decompiling or disassembling of this spreadsheet is not allowable.
A full list of terms and conditions can be found here:</t>
  </si>
  <si>
    <t>www.yourspreadsheets.co.uk/checkout.html</t>
  </si>
  <si>
    <r>
      <t xml:space="preserve">
By using this spreadsheet you understand and agree with the terms and conditions. You also acknowledge that you do not become an owner of this spreadsheet.
</t>
    </r>
    <r>
      <rPr>
        <b/>
        <sz val="10"/>
        <rFont val="Arial CE"/>
      </rPr>
      <t>Damian Janicki</t>
    </r>
  </si>
  <si>
    <r>
      <t xml:space="preserve">This is a </t>
    </r>
    <r>
      <rPr>
        <b/>
        <sz val="10"/>
        <rFont val="Arial CE"/>
      </rPr>
      <t>Free Lite</t>
    </r>
    <r>
      <rPr>
        <sz val="10"/>
        <rFont val="Arial CE"/>
      </rPr>
      <t xml:space="preserve"> Version. The full version of the spreadsheet allows to:
- Input your company information and change logo;
- Change beam span.
- Change loading.</t>
    </r>
  </si>
  <si>
    <r>
      <t xml:space="preserve">This spreadsheet is based on BS 5950:1 2000.
Changelog:
26.08.2019 - v.2.2. </t>
    </r>
    <r>
      <rPr>
        <sz val="10"/>
        <rFont val="Arial CE"/>
      </rPr>
      <t>- updated steel section sizes database. Added in-spreadsheet help pop-up messages. Also a few extra calculation steps are now visible on the print out.</t>
    </r>
    <r>
      <rPr>
        <b/>
        <sz val="10"/>
        <rFont val="Arial CE"/>
        <charset val="238"/>
      </rPr>
      <t xml:space="preserve">
14.08.2011 - v.2.1.</t>
    </r>
    <r>
      <rPr>
        <sz val="10"/>
        <rFont val="Arial CE"/>
      </rPr>
      <t xml:space="preserve"> - assigned to a new domain: www.YourSpreadsheets.co.uk.
</t>
    </r>
    <r>
      <rPr>
        <b/>
        <sz val="10"/>
        <rFont val="Arial CE"/>
        <charset val="238"/>
      </rPr>
      <t>27.11.2010 - v.1.6.</t>
    </r>
    <r>
      <rPr>
        <sz val="10"/>
        <rFont val="Arial CE"/>
      </rPr>
      <t xml:space="preserve"> - cell protection revised to work on Excel 97 and older.</t>
    </r>
    <r>
      <rPr>
        <b/>
        <sz val="10"/>
        <rFont val="Arial CE"/>
        <charset val="238"/>
      </rPr>
      <t xml:space="preserve">
29.09.2010 - v.1.5.</t>
    </r>
    <r>
      <rPr>
        <sz val="10"/>
        <rFont val="Arial CE"/>
      </rPr>
      <t xml:space="preserve"> - added option to change mLT between stabilizing and destabilizing load. Activation is now requierd.</t>
    </r>
    <r>
      <rPr>
        <b/>
        <sz val="10"/>
        <rFont val="Arial CE"/>
        <charset val="238"/>
      </rPr>
      <t xml:space="preserve">
05.08.2010 - v.1.4.</t>
    </r>
    <r>
      <rPr>
        <sz val="10"/>
        <rFont val="Arial CE"/>
      </rPr>
      <t xml:space="preserve"> - added option to limit allowable deflection to L/200; L/250 or 25mm (good practise for long spans).</t>
    </r>
    <r>
      <rPr>
        <b/>
        <sz val="10"/>
        <rFont val="Arial CE"/>
        <charset val="238"/>
      </rPr>
      <t xml:space="preserve">
03.06.2010 - v.1.3.</t>
    </r>
    <r>
      <rPr>
        <sz val="10"/>
        <rFont val="Arial CE"/>
      </rPr>
      <t xml:space="preserve"> - minor cosmetic changes. Note from the Author revised.
</t>
    </r>
    <r>
      <rPr>
        <b/>
        <sz val="10"/>
        <rFont val="Arial CE"/>
        <charset val="238"/>
      </rPr>
      <t xml:space="preserve">02.05.2010 - v.1.2. </t>
    </r>
    <r>
      <rPr>
        <sz val="10"/>
        <rFont val="Arial CE"/>
      </rPr>
      <t>-</t>
    </r>
    <r>
      <rPr>
        <b/>
        <sz val="10"/>
        <rFont val="Arial CE"/>
        <charset val="238"/>
      </rPr>
      <t xml:space="preserve"> </t>
    </r>
    <r>
      <rPr>
        <sz val="10"/>
        <rFont val="Arial CE"/>
      </rPr>
      <t>official release of the spreadsheet.</t>
    </r>
  </si>
  <si>
    <r>
      <t xml:space="preserve">version: </t>
    </r>
    <r>
      <rPr>
        <b/>
        <sz val="10"/>
        <rFont val="Arial CE"/>
      </rPr>
      <t>2.2.</t>
    </r>
    <r>
      <rPr>
        <sz val="10"/>
        <rFont val="Arial CE"/>
        <charset val="238"/>
      </rPr>
      <t xml:space="preserve"> - </t>
    </r>
    <r>
      <rPr>
        <b/>
        <sz val="10"/>
        <rFont val="Arial CE"/>
      </rPr>
      <t>FREE LITE VERSION</t>
    </r>
  </si>
  <si>
    <r>
      <t>YourSpreadsheets</t>
    </r>
    <r>
      <rPr>
        <b/>
        <sz val="13"/>
        <rFont val="Calibri"/>
        <family val="2"/>
      </rPr>
      <t>™</t>
    </r>
    <r>
      <rPr>
        <b/>
        <sz val="13"/>
        <rFont val="Arial"/>
        <family val="2"/>
        <charset val="238"/>
      </rPr>
      <t xml:space="preserve">
</t>
    </r>
    <r>
      <rPr>
        <sz val="10"/>
        <rFont val="Arial"/>
        <family val="2"/>
        <charset val="238"/>
      </rPr>
      <t>Your Office Address Goes Here
www.YourSpreadsheets.co.uk
Tel: 010 1234 567890 (example only)</t>
    </r>
  </si>
  <si>
    <t>TEST PROJECT NAME</t>
  </si>
  <si>
    <r>
      <t>test member</t>
    </r>
    <r>
      <rPr>
        <sz val="10"/>
        <rFont val="Arial"/>
        <family val="2"/>
      </rPr>
      <t xml:space="preserve"> (this is unlicensed version of the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</si>
</sst>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415]d/mmm/yyyy;@"/>
    <numFmt numFmtId="167" formatCode="dd/mm/yyyy;@"/>
    <numFmt numFmtId="168" formatCode="00"/>
  </numFmts>
  <fonts count="37">
    <font>
      <sz val="10"/>
      <name val="Arial CE"/>
      <charset val="238"/>
    </font>
    <font>
      <sz val="10"/>
      <name val="Arial CE"/>
      <charset val="238"/>
    </font>
    <font>
      <sz val="10"/>
      <name val="Arial"/>
      <family val="2"/>
      <charset val="238"/>
    </font>
    <font>
      <b/>
      <sz val="10"/>
      <name val="Arial CE"/>
      <charset val="238"/>
    </font>
    <font>
      <u/>
      <sz val="10"/>
      <color indexed="12"/>
      <name val="Arial CE"/>
      <charset val="238"/>
    </font>
    <font>
      <sz val="10"/>
      <name val="Arial CE"/>
      <charset val="238"/>
    </font>
    <font>
      <sz val="8"/>
      <name val="Arial CE"/>
      <charset val="238"/>
    </font>
    <font>
      <b/>
      <sz val="11"/>
      <name val="Arial CE"/>
      <charset val="238"/>
    </font>
    <font>
      <sz val="11"/>
      <name val="Arial CE"/>
      <charset val="238"/>
    </font>
    <font>
      <b/>
      <u/>
      <sz val="10"/>
      <name val="Arial CE"/>
      <charset val="238"/>
    </font>
    <font>
      <b/>
      <sz val="10"/>
      <name val="Arial"/>
      <family val="2"/>
      <charset val="238"/>
    </font>
    <font>
      <i/>
      <sz val="10"/>
      <name val="Arial CE"/>
      <charset val="238"/>
    </font>
    <font>
      <b/>
      <sz val="10"/>
      <color indexed="18"/>
      <name val="Arial CE"/>
      <charset val="238"/>
    </font>
    <font>
      <sz val="12"/>
      <name val="Arial"/>
      <family val="2"/>
      <charset val="238"/>
    </font>
    <font>
      <i/>
      <sz val="10"/>
      <name val="Arial"/>
      <family val="2"/>
      <charset val="238"/>
    </font>
    <font>
      <b/>
      <i/>
      <sz val="10"/>
      <name val="Arial"/>
      <family val="2"/>
      <charset val="238"/>
    </font>
    <font>
      <vertAlign val="subscript"/>
      <sz val="10"/>
      <name val="Arial CE"/>
      <charset val="238"/>
    </font>
    <font>
      <vertAlign val="subscript"/>
      <sz val="10"/>
      <name val="Arial"/>
      <family val="2"/>
      <charset val="238"/>
    </font>
    <font>
      <b/>
      <i/>
      <sz val="10"/>
      <name val="Arial CE"/>
      <charset val="238"/>
    </font>
    <font>
      <i/>
      <vertAlign val="superscript"/>
      <sz val="10"/>
      <name val="Arial CE"/>
      <charset val="238"/>
    </font>
    <font>
      <b/>
      <sz val="8"/>
      <name val="Arial CE"/>
      <charset val="238"/>
    </font>
    <font>
      <sz val="10"/>
      <name val="Arial CE"/>
    </font>
    <font>
      <b/>
      <sz val="10"/>
      <name val="Arial CE"/>
    </font>
    <font>
      <i/>
      <sz val="8"/>
      <name val="Arial CE"/>
    </font>
    <font>
      <b/>
      <i/>
      <sz val="8"/>
      <name val="Arial CE"/>
    </font>
    <font>
      <b/>
      <sz val="12"/>
      <name val="Arial"/>
      <family val="2"/>
      <charset val="238"/>
    </font>
    <font>
      <b/>
      <sz val="10"/>
      <color rgb="FF0000CC"/>
      <name val="Arial CE"/>
      <charset val="238"/>
    </font>
    <font>
      <b/>
      <i/>
      <sz val="10"/>
      <color rgb="FF0000CC"/>
      <name val="Arial CE"/>
      <charset val="238"/>
    </font>
    <font>
      <b/>
      <sz val="10"/>
      <color rgb="FF0000CC"/>
      <name val="Arial CE"/>
    </font>
    <font>
      <b/>
      <sz val="10"/>
      <color rgb="FF000000"/>
      <name val="Arial CE"/>
    </font>
    <font>
      <vertAlign val="subscript"/>
      <sz val="10"/>
      <name val="Arial CE"/>
    </font>
    <font>
      <b/>
      <sz val="10"/>
      <name val="Arial"/>
      <family val="2"/>
    </font>
    <font>
      <sz val="10"/>
      <name val="Arial"/>
      <family val="2"/>
    </font>
    <font>
      <b/>
      <sz val="9"/>
      <color indexed="81"/>
      <name val="Tahoma"/>
      <family val="2"/>
    </font>
    <font>
      <b/>
      <sz val="13"/>
      <name val="Arial"/>
      <family val="2"/>
      <charset val="238"/>
    </font>
    <font>
      <b/>
      <sz val="13"/>
      <name val="Calibri"/>
      <family val="2"/>
    </font>
    <font>
      <sz val="10"/>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33"/>
        <bgColor indexed="64"/>
      </patternFill>
    </fill>
  </fills>
  <borders count="28">
    <border>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thin">
        <color indexed="64"/>
      </bottom>
      <diagonal/>
    </border>
    <border>
      <left/>
      <right style="thin">
        <color indexed="64"/>
      </right>
      <top style="dashed">
        <color indexed="64"/>
      </top>
      <bottom/>
      <diagonal/>
    </border>
    <border>
      <left style="thin">
        <color indexed="64"/>
      </left>
      <right/>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417">
    <xf numFmtId="0" fontId="0" fillId="0" borderId="0" xfId="0"/>
    <xf numFmtId="0" fontId="0" fillId="2" borderId="0" xfId="0" applyFill="1"/>
    <xf numFmtId="0" fontId="0" fillId="2" borderId="0" xfId="0" applyFill="1" applyBorder="1"/>
    <xf numFmtId="0" fontId="0" fillId="2" borderId="0" xfId="0" applyFill="1" applyBorder="1" applyAlignment="1">
      <alignment horizontal="right"/>
    </xf>
    <xf numFmtId="0" fontId="5" fillId="0" borderId="0" xfId="0" applyFont="1" applyFill="1" applyBorder="1"/>
    <xf numFmtId="0" fontId="5" fillId="0" borderId="0" xfId="0" applyFont="1" applyFill="1" applyBorder="1" applyAlignment="1">
      <alignment horizontal="right"/>
    </xf>
    <xf numFmtId="0" fontId="1" fillId="2" borderId="0" xfId="0" applyFont="1" applyFill="1"/>
    <xf numFmtId="0" fontId="1" fillId="0" borderId="1" xfId="0" applyFont="1" applyFill="1" applyBorder="1"/>
    <xf numFmtId="0" fontId="1" fillId="0" borderId="0" xfId="0" applyFont="1" applyFill="1" applyBorder="1"/>
    <xf numFmtId="2" fontId="1" fillId="0" borderId="0" xfId="0" applyNumberFormat="1" applyFont="1" applyFill="1" applyBorder="1"/>
    <xf numFmtId="0" fontId="5" fillId="2" borderId="0" xfId="0" applyFont="1" applyFill="1"/>
    <xf numFmtId="0" fontId="5" fillId="0" borderId="1" xfId="0" applyFont="1" applyFill="1" applyBorder="1"/>
    <xf numFmtId="2" fontId="5" fillId="0" borderId="0" xfId="0" applyNumberFormat="1" applyFont="1" applyFill="1" applyBorder="1"/>
    <xf numFmtId="0" fontId="5" fillId="2" borderId="0" xfId="0" applyFont="1" applyFill="1" applyBorder="1"/>
    <xf numFmtId="2" fontId="5" fillId="0" borderId="0" xfId="0" applyNumberFormat="1" applyFont="1" applyFill="1" applyBorder="1" applyAlignment="1">
      <alignment horizontal="right"/>
    </xf>
    <xf numFmtId="2" fontId="5" fillId="2" borderId="0" xfId="0" applyNumberFormat="1" applyFont="1" applyFill="1"/>
    <xf numFmtId="2" fontId="1" fillId="0" borderId="2" xfId="0" applyNumberFormat="1" applyFont="1" applyFill="1" applyBorder="1"/>
    <xf numFmtId="2" fontId="5" fillId="0" borderId="2" xfId="0" applyNumberFormat="1" applyFont="1" applyFill="1" applyBorder="1"/>
    <xf numFmtId="2" fontId="5" fillId="0" borderId="2" xfId="0" applyNumberFormat="1" applyFont="1" applyFill="1" applyBorder="1" applyAlignment="1">
      <alignment horizontal="left"/>
    </xf>
    <xf numFmtId="2" fontId="5" fillId="0" borderId="2" xfId="0" applyNumberFormat="1" applyFont="1" applyFill="1" applyBorder="1" applyAlignment="1">
      <alignment horizontal="right"/>
    </xf>
    <xf numFmtId="0" fontId="5" fillId="0" borderId="3" xfId="0" applyFont="1" applyFill="1" applyBorder="1"/>
    <xf numFmtId="2" fontId="5" fillId="0" borderId="3" xfId="0" applyNumberFormat="1" applyFont="1" applyFill="1" applyBorder="1"/>
    <xf numFmtId="2" fontId="5" fillId="0" borderId="4" xfId="0" applyNumberFormat="1" applyFont="1" applyFill="1" applyBorder="1"/>
    <xf numFmtId="0" fontId="5" fillId="0" borderId="5" xfId="0" applyFont="1" applyFill="1" applyBorder="1"/>
    <xf numFmtId="0" fontId="5" fillId="0" borderId="0" xfId="0" applyFont="1" applyFill="1"/>
    <xf numFmtId="0" fontId="3" fillId="2" borderId="0" xfId="0" applyFont="1" applyFill="1" applyBorder="1" applyAlignment="1">
      <alignment horizontal="right"/>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0" xfId="1" applyFill="1" applyBorder="1" applyAlignment="1" applyProtection="1"/>
    <xf numFmtId="0" fontId="5" fillId="4" borderId="0" xfId="0" applyFont="1" applyFill="1" applyBorder="1" applyAlignment="1">
      <alignment horizontal="right"/>
    </xf>
    <xf numFmtId="0" fontId="0" fillId="2" borderId="0" xfId="0" applyFill="1" applyAlignment="1">
      <alignment wrapText="1"/>
    </xf>
    <xf numFmtId="2" fontId="5" fillId="0" borderId="0" xfId="0" applyNumberFormat="1" applyFont="1" applyFill="1" applyBorder="1" applyAlignment="1">
      <alignment horizontal="center"/>
    </xf>
    <xf numFmtId="0" fontId="5" fillId="5" borderId="9" xfId="0" applyFont="1" applyFill="1" applyBorder="1"/>
    <xf numFmtId="0" fontId="5" fillId="5" borderId="0" xfId="0" applyFont="1" applyFill="1" applyBorder="1" applyAlignment="1"/>
    <xf numFmtId="0" fontId="5" fillId="5" borderId="1" xfId="0" applyFont="1" applyFill="1" applyBorder="1" applyAlignment="1">
      <alignment horizontal="right"/>
    </xf>
    <xf numFmtId="0" fontId="5" fillId="5" borderId="0" xfId="0" applyFont="1" applyFill="1" applyBorder="1" applyAlignment="1">
      <alignment vertical="center"/>
    </xf>
    <xf numFmtId="0" fontId="0" fillId="5" borderId="0" xfId="0" applyFill="1" applyBorder="1" applyAlignment="1">
      <alignment shrinkToFit="1"/>
    </xf>
    <xf numFmtId="0" fontId="11" fillId="5" borderId="0" xfId="0" applyFont="1" applyFill="1" applyBorder="1" applyAlignment="1">
      <alignment horizontal="left"/>
    </xf>
    <xf numFmtId="0" fontId="11" fillId="5" borderId="11" xfId="0" applyFont="1" applyFill="1" applyBorder="1" applyAlignment="1">
      <alignment horizontal="left"/>
    </xf>
    <xf numFmtId="0" fontId="11" fillId="5" borderId="9" xfId="0" applyFont="1" applyFill="1" applyBorder="1"/>
    <xf numFmtId="0" fontId="0" fillId="6" borderId="0" xfId="0" applyFill="1" applyBorder="1"/>
    <xf numFmtId="0" fontId="12" fillId="6" borderId="0" xfId="0" applyFont="1" applyFill="1" applyAlignment="1">
      <alignment horizontal="left"/>
    </xf>
    <xf numFmtId="0" fontId="0" fillId="6" borderId="0" xfId="0" applyFill="1"/>
    <xf numFmtId="0" fontId="0" fillId="6" borderId="0" xfId="0" applyFill="1" applyBorder="1" applyAlignment="1">
      <alignment horizontal="left"/>
    </xf>
    <xf numFmtId="0" fontId="0" fillId="6" borderId="0" xfId="0" applyFill="1" applyBorder="1" applyAlignment="1">
      <alignment horizontal="right"/>
    </xf>
    <xf numFmtId="0" fontId="0" fillId="6" borderId="11" xfId="0" applyFill="1" applyBorder="1"/>
    <xf numFmtId="0" fontId="6" fillId="6" borderId="1" xfId="0" applyFont="1" applyFill="1" applyBorder="1"/>
    <xf numFmtId="0" fontId="6" fillId="6" borderId="0" xfId="0" applyFont="1" applyFill="1" applyBorder="1"/>
    <xf numFmtId="0" fontId="6" fillId="6" borderId="10" xfId="0" applyFont="1" applyFill="1" applyBorder="1"/>
    <xf numFmtId="0" fontId="6" fillId="6" borderId="11" xfId="0" applyFont="1" applyFill="1" applyBorder="1"/>
    <xf numFmtId="0" fontId="0" fillId="2" borderId="11" xfId="0" applyFill="1" applyBorder="1" applyAlignment="1">
      <alignment horizontal="right"/>
    </xf>
    <xf numFmtId="0" fontId="5" fillId="5" borderId="7" xfId="0" applyFont="1" applyFill="1" applyBorder="1"/>
    <xf numFmtId="0" fontId="5" fillId="5" borderId="8" xfId="0" applyFont="1" applyFill="1" applyBorder="1"/>
    <xf numFmtId="0" fontId="5" fillId="5" borderId="0" xfId="0" applyFont="1" applyFill="1" applyBorder="1"/>
    <xf numFmtId="0" fontId="5" fillId="5" borderId="11" xfId="0" applyFont="1" applyFill="1" applyBorder="1"/>
    <xf numFmtId="0" fontId="5" fillId="5" borderId="12" xfId="0" applyFont="1" applyFill="1" applyBorder="1"/>
    <xf numFmtId="0" fontId="11" fillId="5" borderId="0" xfId="0" applyFont="1" applyFill="1" applyBorder="1"/>
    <xf numFmtId="164" fontId="6" fillId="2" borderId="10" xfId="0" applyNumberFormat="1" applyFont="1" applyFill="1" applyBorder="1" applyAlignment="1">
      <alignment horizontal="right"/>
    </xf>
    <xf numFmtId="164" fontId="6" fillId="2" borderId="11" xfId="0" applyNumberFormat="1" applyFont="1" applyFill="1" applyBorder="1" applyAlignment="1">
      <alignment horizontal="right"/>
    </xf>
    <xf numFmtId="0" fontId="0" fillId="2" borderId="0" xfId="0" applyFill="1" applyAlignment="1">
      <alignment horizontal="right"/>
    </xf>
    <xf numFmtId="2" fontId="6" fillId="2" borderId="1" xfId="0" applyNumberFormat="1" applyFont="1" applyFill="1" applyBorder="1"/>
    <xf numFmtId="2" fontId="6" fillId="2" borderId="0" xfId="0" applyNumberFormat="1" applyFont="1" applyFill="1"/>
    <xf numFmtId="2" fontId="6" fillId="2" borderId="0" xfId="0" applyNumberFormat="1" applyFont="1" applyFill="1" applyBorder="1"/>
    <xf numFmtId="0" fontId="12" fillId="2" borderId="0" xfId="0" applyFont="1" applyFill="1" applyAlignment="1">
      <alignment horizontal="left"/>
    </xf>
    <xf numFmtId="0" fontId="3" fillId="2" borderId="1" xfId="0" applyFont="1" applyFill="1" applyBorder="1"/>
    <xf numFmtId="164" fontId="6" fillId="2" borderId="1" xfId="0" applyNumberFormat="1" applyFont="1" applyFill="1" applyBorder="1"/>
    <xf numFmtId="164" fontId="6" fillId="2" borderId="0" xfId="0" applyNumberFormat="1" applyFont="1" applyFill="1" applyBorder="1"/>
    <xf numFmtId="0" fontId="3" fillId="2" borderId="6" xfId="0" applyFont="1" applyFill="1" applyBorder="1" applyAlignment="1">
      <alignment horizontal="right"/>
    </xf>
    <xf numFmtId="164" fontId="6" fillId="2" borderId="8" xfId="0" applyNumberFormat="1" applyFont="1" applyFill="1" applyBorder="1"/>
    <xf numFmtId="0" fontId="3" fillId="2" borderId="10" xfId="0" applyFont="1" applyFill="1" applyBorder="1" applyAlignment="1">
      <alignment horizontal="right"/>
    </xf>
    <xf numFmtId="164" fontId="6" fillId="2" borderId="12" xfId="0" applyNumberFormat="1" applyFont="1" applyFill="1" applyBorder="1"/>
    <xf numFmtId="0" fontId="0" fillId="6" borderId="6" xfId="0" applyFill="1" applyBorder="1"/>
    <xf numFmtId="0" fontId="0" fillId="6" borderId="10" xfId="0" applyFill="1" applyBorder="1"/>
    <xf numFmtId="0" fontId="0" fillId="6" borderId="0" xfId="0" applyFill="1" applyAlignment="1">
      <alignment horizontal="right"/>
    </xf>
    <xf numFmtId="2" fontId="6" fillId="6" borderId="1" xfId="0" applyNumberFormat="1" applyFont="1" applyFill="1" applyBorder="1"/>
    <xf numFmtId="2" fontId="6" fillId="2" borderId="6" xfId="0" applyNumberFormat="1" applyFont="1" applyFill="1" applyBorder="1"/>
    <xf numFmtId="2" fontId="6" fillId="6" borderId="0" xfId="0" applyNumberFormat="1" applyFont="1" applyFill="1"/>
    <xf numFmtId="2" fontId="5" fillId="0" borderId="0" xfId="0" applyNumberFormat="1" applyFont="1" applyFill="1"/>
    <xf numFmtId="0" fontId="11" fillId="5" borderId="7" xfId="0" applyFont="1" applyFill="1" applyBorder="1" applyAlignment="1"/>
    <xf numFmtId="0" fontId="11" fillId="5" borderId="0" xfId="0" applyFont="1" applyFill="1" applyBorder="1" applyAlignment="1"/>
    <xf numFmtId="0" fontId="1" fillId="2" borderId="0" xfId="0" applyFont="1" applyFill="1" applyBorder="1" applyAlignment="1" applyProtection="1">
      <alignment horizontal="right"/>
    </xf>
    <xf numFmtId="0" fontId="1" fillId="2" borderId="0" xfId="0" applyFont="1" applyFill="1" applyProtection="1"/>
    <xf numFmtId="2" fontId="3"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vertical="center" wrapText="1"/>
    </xf>
    <xf numFmtId="166" fontId="3" fillId="2" borderId="0" xfId="0" applyNumberFormat="1" applyFont="1" applyFill="1" applyBorder="1" applyAlignment="1" applyProtection="1">
      <alignment horizontal="center" vertical="center"/>
    </xf>
    <xf numFmtId="2" fontId="1" fillId="2" borderId="0" xfId="0" applyNumberFormat="1" applyFont="1" applyFill="1" applyBorder="1" applyProtection="1"/>
    <xf numFmtId="2" fontId="5" fillId="2" borderId="0" xfId="0" applyNumberFormat="1" applyFont="1" applyFill="1" applyBorder="1" applyProtection="1"/>
    <xf numFmtId="2" fontId="3" fillId="2" borderId="0" xfId="0" applyNumberFormat="1" applyFont="1" applyFill="1" applyBorder="1" applyAlignment="1" applyProtection="1">
      <alignment horizontal="center"/>
    </xf>
    <xf numFmtId="2" fontId="3" fillId="7" borderId="14" xfId="0" applyNumberFormat="1" applyFont="1" applyFill="1" applyBorder="1" applyAlignment="1" applyProtection="1">
      <alignment vertical="center"/>
    </xf>
    <xf numFmtId="2" fontId="0" fillId="2" borderId="0" xfId="0" applyNumberFormat="1" applyFill="1" applyBorder="1" applyProtection="1"/>
    <xf numFmtId="2" fontId="3" fillId="7" borderId="15" xfId="0" applyNumberFormat="1" applyFont="1" applyFill="1" applyBorder="1" applyAlignment="1" applyProtection="1"/>
    <xf numFmtId="2" fontId="3" fillId="7" borderId="16" xfId="0" applyNumberFormat="1" applyFont="1" applyFill="1" applyBorder="1" applyAlignment="1" applyProtection="1"/>
    <xf numFmtId="2" fontId="0" fillId="2" borderId="0" xfId="0" applyNumberFormat="1" applyFill="1" applyBorder="1" applyAlignment="1" applyProtection="1"/>
    <xf numFmtId="2" fontId="5" fillId="2" borderId="0" xfId="0" applyNumberFormat="1" applyFont="1" applyFill="1" applyBorder="1" applyAlignment="1" applyProtection="1">
      <alignment horizontal="left"/>
    </xf>
    <xf numFmtId="2" fontId="3" fillId="2" borderId="0" xfId="0" applyNumberFormat="1" applyFont="1" applyFill="1" applyBorder="1" applyAlignment="1" applyProtection="1">
      <alignment horizontal="left"/>
    </xf>
    <xf numFmtId="2" fontId="0" fillId="2" borderId="0" xfId="0" applyNumberFormat="1" applyFill="1" applyBorder="1" applyAlignment="1" applyProtection="1">
      <alignment horizontal="left"/>
    </xf>
    <xf numFmtId="2" fontId="5" fillId="2" borderId="0" xfId="0" applyNumberFormat="1" applyFont="1" applyFill="1" applyBorder="1" applyAlignment="1" applyProtection="1">
      <alignment horizontal="right"/>
    </xf>
    <xf numFmtId="2" fontId="5" fillId="2" borderId="0" xfId="0" applyNumberFormat="1" applyFont="1" applyFill="1" applyProtection="1"/>
    <xf numFmtId="0" fontId="0" fillId="0" borderId="0" xfId="0" applyFill="1" applyBorder="1" applyAlignment="1"/>
    <xf numFmtId="0" fontId="3" fillId="2" borderId="0" xfId="0" applyNumberFormat="1" applyFont="1" applyFill="1" applyBorder="1" applyAlignment="1" applyProtection="1">
      <alignment horizontal="left"/>
    </xf>
    <xf numFmtId="0" fontId="0" fillId="2" borderId="0" xfId="0" applyNumberFormat="1" applyFill="1" applyBorder="1" applyAlignment="1" applyProtection="1">
      <alignment horizontal="left"/>
    </xf>
    <xf numFmtId="2" fontId="6" fillId="6" borderId="0" xfId="0" applyNumberFormat="1" applyFont="1" applyFill="1" applyBorder="1"/>
    <xf numFmtId="0" fontId="12" fillId="2" borderId="0" xfId="0" applyFont="1" applyFill="1" applyAlignment="1">
      <alignment horizontal="right"/>
    </xf>
    <xf numFmtId="0" fontId="0" fillId="5" borderId="0" xfId="0" applyFill="1" applyBorder="1" applyAlignment="1">
      <alignment horizontal="right"/>
    </xf>
    <xf numFmtId="0" fontId="11" fillId="5" borderId="0" xfId="0" applyFont="1" applyFill="1" applyBorder="1" applyAlignment="1">
      <alignment horizontal="left"/>
    </xf>
    <xf numFmtId="2" fontId="0" fillId="5" borderId="0" xfId="0" applyNumberFormat="1" applyFill="1" applyBorder="1" applyAlignment="1">
      <alignment horizontal="right"/>
    </xf>
    <xf numFmtId="0" fontId="0" fillId="5" borderId="0" xfId="0" applyFont="1" applyFill="1" applyBorder="1" applyAlignment="1">
      <alignment horizontal="right"/>
    </xf>
    <xf numFmtId="0" fontId="3" fillId="0" borderId="0" xfId="0" applyFont="1" applyFill="1" applyBorder="1" applyAlignment="1">
      <alignment vertical="center"/>
    </xf>
    <xf numFmtId="0" fontId="0" fillId="0" borderId="0" xfId="0" applyFont="1" applyFill="1" applyBorder="1" applyAlignment="1"/>
    <xf numFmtId="0" fontId="0" fillId="0" borderId="0" xfId="0" applyFont="1" applyFill="1" applyAlignment="1"/>
    <xf numFmtId="0" fontId="0" fillId="0" borderId="0" xfId="0" applyFont="1" applyFill="1" applyBorder="1"/>
    <xf numFmtId="0" fontId="0" fillId="0" borderId="0" xfId="0" applyFont="1" applyFill="1"/>
    <xf numFmtId="0" fontId="0" fillId="0" borderId="0" xfId="0" applyFont="1" applyFill="1" applyBorder="1" applyAlignment="1">
      <alignment vertical="center"/>
    </xf>
    <xf numFmtId="0" fontId="0" fillId="0" borderId="0" xfId="0" applyFont="1" applyFill="1" applyBorder="1" applyAlignment="1">
      <alignment horizontal="lef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0" fillId="5" borderId="6" xfId="0" applyFill="1" applyBorder="1" applyAlignment="1">
      <alignment vertical="center"/>
    </xf>
    <xf numFmtId="0" fontId="2" fillId="5" borderId="10" xfId="0" applyFont="1" applyFill="1" applyBorder="1" applyAlignment="1">
      <alignment vertical="center"/>
    </xf>
    <xf numFmtId="0" fontId="0" fillId="5" borderId="1" xfId="0" applyFill="1" applyBorder="1" applyAlignment="1">
      <alignment vertical="center"/>
    </xf>
    <xf numFmtId="0" fontId="3" fillId="5" borderId="11" xfId="0" applyFont="1" applyFill="1" applyBorder="1" applyAlignment="1">
      <alignment vertical="center"/>
    </xf>
    <xf numFmtId="0" fontId="3" fillId="5" borderId="7" xfId="0" applyFont="1" applyFill="1" applyBorder="1" applyAlignment="1">
      <alignment vertical="center"/>
    </xf>
    <xf numFmtId="0" fontId="11" fillId="5" borderId="0" xfId="0" applyFont="1" applyFill="1" applyBorder="1" applyAlignment="1">
      <alignment horizontal="left" vertical="center"/>
    </xf>
    <xf numFmtId="0" fontId="11" fillId="5" borderId="9" xfId="0" applyFont="1" applyFill="1" applyBorder="1" applyAlignment="1">
      <alignment horizontal="left"/>
    </xf>
    <xf numFmtId="0" fontId="11" fillId="5" borderId="9" xfId="0" applyFont="1" applyFill="1" applyBorder="1" applyAlignment="1">
      <alignment horizontal="left" vertical="center"/>
    </xf>
    <xf numFmtId="0" fontId="0" fillId="5" borderId="7" xfId="0" applyFont="1" applyFill="1" applyBorder="1" applyAlignment="1">
      <alignment horizontal="right"/>
    </xf>
    <xf numFmtId="0" fontId="2" fillId="0" borderId="17" xfId="0" applyFont="1" applyFill="1" applyBorder="1" applyAlignment="1"/>
    <xf numFmtId="1" fontId="5" fillId="0" borderId="17" xfId="0" applyNumberFormat="1" applyFont="1" applyFill="1" applyBorder="1" applyAlignment="1"/>
    <xf numFmtId="0" fontId="0" fillId="2" borderId="0" xfId="0" applyFill="1" applyAlignment="1"/>
    <xf numFmtId="0" fontId="2" fillId="2" borderId="0" xfId="0" applyFont="1" applyFill="1" applyAlignment="1">
      <alignment horizontal="right"/>
    </xf>
    <xf numFmtId="0" fontId="0" fillId="5" borderId="0" xfId="0" applyFill="1" applyBorder="1" applyAlignment="1">
      <alignment horizontal="right"/>
    </xf>
    <xf numFmtId="0" fontId="2" fillId="2" borderId="0" xfId="0" applyFont="1" applyFill="1"/>
    <xf numFmtId="2" fontId="5" fillId="2" borderId="0" xfId="0" applyNumberFormat="1" applyFont="1" applyFill="1" applyBorder="1" applyAlignment="1" applyProtection="1">
      <alignment horizontal="center"/>
    </xf>
    <xf numFmtId="164" fontId="0" fillId="2" borderId="0" xfId="0" applyNumberFormat="1" applyFont="1" applyFill="1" applyBorder="1" applyAlignment="1" applyProtection="1">
      <alignment horizontal="right"/>
    </xf>
    <xf numFmtId="0" fontId="0" fillId="2" borderId="0" xfId="0" applyFont="1" applyFill="1" applyBorder="1" applyAlignment="1" applyProtection="1">
      <alignment horizontal="right"/>
    </xf>
    <xf numFmtId="0" fontId="0" fillId="2" borderId="0" xfId="0" applyFill="1" applyBorder="1" applyAlignment="1" applyProtection="1">
      <alignment horizontal="right"/>
    </xf>
    <xf numFmtId="2" fontId="6" fillId="0" borderId="3" xfId="0" applyNumberFormat="1" applyFont="1" applyFill="1" applyBorder="1" applyAlignment="1">
      <alignment horizontal="right"/>
    </xf>
    <xf numFmtId="0" fontId="0" fillId="5" borderId="0" xfId="0" applyFont="1" applyFill="1" applyBorder="1"/>
    <xf numFmtId="0" fontId="0" fillId="5" borderId="9" xfId="0" applyFont="1" applyFill="1" applyBorder="1"/>
    <xf numFmtId="0" fontId="0" fillId="5" borderId="11" xfId="0" applyFont="1" applyFill="1" applyBorder="1"/>
    <xf numFmtId="0" fontId="0" fillId="5" borderId="12" xfId="0" applyFont="1" applyFill="1" applyBorder="1"/>
    <xf numFmtId="0" fontId="11" fillId="5" borderId="11" xfId="0" applyFont="1" applyFill="1" applyBorder="1" applyAlignment="1"/>
    <xf numFmtId="0" fontId="0" fillId="0" borderId="0" xfId="0" applyFill="1" applyBorder="1"/>
    <xf numFmtId="0" fontId="11" fillId="5" borderId="7" xfId="0" applyFont="1" applyFill="1" applyBorder="1"/>
    <xf numFmtId="0" fontId="5" fillId="0" borderId="17" xfId="0" applyFont="1" applyFill="1" applyBorder="1"/>
    <xf numFmtId="2" fontId="0" fillId="6" borderId="0" xfId="0" applyNumberFormat="1" applyFill="1" applyAlignment="1">
      <alignment horizontal="right"/>
    </xf>
    <xf numFmtId="2" fontId="0" fillId="6" borderId="0" xfId="0" applyNumberFormat="1" applyFill="1"/>
    <xf numFmtId="0" fontId="9" fillId="2" borderId="0" xfId="0" applyFont="1" applyFill="1" applyBorder="1" applyAlignment="1" applyProtection="1">
      <alignment vertical="center"/>
    </xf>
    <xf numFmtId="0" fontId="11" fillId="0" borderId="0" xfId="0" applyFont="1" applyFill="1" applyBorder="1" applyAlignment="1">
      <alignment horizontal="center"/>
    </xf>
    <xf numFmtId="2" fontId="11" fillId="0" borderId="0" xfId="0" applyNumberFormat="1" applyFont="1" applyFill="1" applyBorder="1" applyAlignment="1">
      <alignment horizontal="left"/>
    </xf>
    <xf numFmtId="0" fontId="0" fillId="5" borderId="0" xfId="0" applyFill="1" applyBorder="1" applyAlignment="1">
      <alignment horizontal="right"/>
    </xf>
    <xf numFmtId="0" fontId="11" fillId="5" borderId="0" xfId="0" applyFont="1" applyFill="1" applyBorder="1" applyAlignment="1">
      <alignment horizontal="left"/>
    </xf>
    <xf numFmtId="0" fontId="0" fillId="5" borderId="7" xfId="0" applyFill="1" applyBorder="1" applyAlignment="1">
      <alignment horizontal="right"/>
    </xf>
    <xf numFmtId="0" fontId="0" fillId="5" borderId="9" xfId="0" applyFont="1" applyFill="1" applyBorder="1" applyAlignment="1"/>
    <xf numFmtId="0" fontId="5" fillId="5" borderId="1" xfId="0" applyFont="1" applyFill="1" applyBorder="1"/>
    <xf numFmtId="0" fontId="0" fillId="5" borderId="0" xfId="0" applyFill="1" applyBorder="1" applyAlignment="1">
      <alignment horizontal="right" vertical="center"/>
    </xf>
    <xf numFmtId="0" fontId="0" fillId="5" borderId="0" xfId="0" applyFont="1" applyFill="1" applyBorder="1" applyAlignment="1"/>
    <xf numFmtId="0" fontId="3" fillId="5" borderId="18" xfId="0" applyFont="1" applyFill="1" applyBorder="1" applyAlignment="1">
      <alignment vertical="center"/>
    </xf>
    <xf numFmtId="0" fontId="2" fillId="5" borderId="1" xfId="0" applyFont="1" applyFill="1" applyBorder="1" applyAlignment="1">
      <alignment vertical="center"/>
    </xf>
    <xf numFmtId="0" fontId="0" fillId="5" borderId="12" xfId="0" applyFont="1" applyFill="1" applyBorder="1" applyAlignment="1"/>
    <xf numFmtId="0" fontId="0" fillId="5" borderId="8" xfId="0" applyFont="1" applyFill="1" applyBorder="1" applyAlignment="1"/>
    <xf numFmtId="0" fontId="5" fillId="2" borderId="0" xfId="0" applyFont="1" applyFill="1" applyProtection="1">
      <protection locked="0"/>
    </xf>
    <xf numFmtId="164" fontId="0" fillId="5" borderId="0" xfId="0" applyNumberFormat="1" applyFont="1" applyFill="1" applyBorder="1" applyAlignment="1" applyProtection="1">
      <alignment horizontal="right"/>
      <protection hidden="1"/>
    </xf>
    <xf numFmtId="164" fontId="5" fillId="5" borderId="0" xfId="0" applyNumberFormat="1" applyFont="1" applyFill="1" applyBorder="1" applyProtection="1">
      <protection hidden="1"/>
    </xf>
    <xf numFmtId="0" fontId="5" fillId="5" borderId="0" xfId="0" applyFont="1" applyFill="1" applyBorder="1" applyProtection="1">
      <protection hidden="1"/>
    </xf>
    <xf numFmtId="2" fontId="0" fillId="7" borderId="1" xfId="0" applyNumberFormat="1" applyFill="1" applyBorder="1" applyAlignment="1" applyProtection="1">
      <alignment vertical="center"/>
      <protection hidden="1"/>
    </xf>
    <xf numFmtId="2" fontId="0" fillId="7" borderId="1" xfId="0" applyNumberFormat="1" applyFill="1" applyBorder="1" applyAlignment="1" applyProtection="1">
      <protection hidden="1"/>
    </xf>
    <xf numFmtId="2" fontId="0" fillId="7" borderId="10" xfId="0" applyNumberFormat="1" applyFill="1" applyBorder="1" applyAlignment="1" applyProtection="1">
      <protection hidden="1"/>
    </xf>
    <xf numFmtId="0" fontId="5" fillId="2" borderId="0" xfId="0" applyFont="1" applyFill="1" applyAlignment="1" applyProtection="1">
      <alignment horizontal="left"/>
      <protection locked="0"/>
    </xf>
    <xf numFmtId="0" fontId="0" fillId="0" borderId="0" xfId="0" applyFill="1" applyBorder="1" applyAlignment="1">
      <alignment horizontal="right"/>
    </xf>
    <xf numFmtId="2" fontId="0" fillId="0" borderId="0" xfId="0" applyNumberFormat="1" applyFill="1" applyBorder="1"/>
    <xf numFmtId="0" fontId="3" fillId="0" borderId="0" xfId="0" applyFont="1" applyFill="1" applyAlignment="1">
      <alignment horizontal="left"/>
    </xf>
    <xf numFmtId="0" fontId="5" fillId="2" borderId="0" xfId="0" applyFont="1" applyFill="1" applyProtection="1"/>
    <xf numFmtId="3" fontId="5" fillId="2" borderId="0" xfId="0" applyNumberFormat="1" applyFont="1" applyFill="1" applyProtection="1"/>
    <xf numFmtId="0" fontId="11" fillId="5" borderId="0" xfId="0" applyFont="1" applyFill="1" applyBorder="1" applyAlignment="1">
      <alignment horizontal="left"/>
    </xf>
    <xf numFmtId="0" fontId="0" fillId="0" borderId="7" xfId="0" applyFont="1" applyFill="1" applyBorder="1" applyAlignment="1"/>
    <xf numFmtId="0" fontId="5" fillId="0" borderId="7" xfId="0" applyFont="1" applyFill="1" applyBorder="1"/>
    <xf numFmtId="0" fontId="0" fillId="0" borderId="7" xfId="0" applyFont="1" applyFill="1" applyBorder="1" applyAlignment="1">
      <alignment horizontal="left" vertical="center"/>
    </xf>
    <xf numFmtId="0" fontId="21" fillId="2" borderId="0" xfId="0" applyFont="1" applyFill="1" applyBorder="1" applyAlignment="1" applyProtection="1">
      <alignment vertical="center"/>
    </xf>
    <xf numFmtId="0" fontId="3" fillId="5" borderId="11" xfId="0" applyFont="1" applyFill="1" applyBorder="1" applyAlignment="1">
      <alignment vertical="center" wrapText="1"/>
    </xf>
    <xf numFmtId="0" fontId="21" fillId="5" borderId="11" xfId="0" applyFont="1" applyFill="1" applyBorder="1" applyAlignment="1">
      <alignment vertical="center"/>
    </xf>
    <xf numFmtId="0" fontId="3" fillId="5" borderId="12" xfId="0" applyFont="1" applyFill="1" applyBorder="1" applyAlignment="1">
      <alignment vertical="center" wrapText="1"/>
    </xf>
    <xf numFmtId="165" fontId="5" fillId="8" borderId="0" xfId="0" applyNumberFormat="1" applyFont="1" applyFill="1"/>
    <xf numFmtId="2" fontId="26" fillId="5" borderId="0" xfId="0" applyNumberFormat="1" applyFont="1" applyFill="1" applyBorder="1" applyAlignment="1" applyProtection="1">
      <alignment shrinkToFit="1"/>
      <protection locked="0"/>
    </xf>
    <xf numFmtId="2" fontId="26" fillId="5" borderId="11" xfId="0" applyNumberFormat="1" applyFont="1" applyFill="1" applyBorder="1" applyAlignment="1" applyProtection="1">
      <alignment shrinkToFit="1"/>
      <protection locked="0"/>
    </xf>
    <xf numFmtId="0" fontId="26" fillId="0" borderId="0" xfId="0" applyFont="1" applyFill="1" applyAlignment="1" applyProtection="1">
      <alignment horizontal="center"/>
      <protection locked="0"/>
    </xf>
    <xf numFmtId="0" fontId="23" fillId="0" borderId="3" xfId="0" applyFont="1" applyFill="1" applyBorder="1" applyAlignment="1"/>
    <xf numFmtId="0" fontId="0" fillId="2" borderId="0" xfId="0" applyFill="1" applyProtection="1">
      <protection locked="0"/>
    </xf>
    <xf numFmtId="2" fontId="0" fillId="5" borderId="0" xfId="0" applyNumberFormat="1" applyFill="1" applyBorder="1" applyAlignment="1" applyProtection="1">
      <alignment horizontal="center" vertical="center"/>
      <protection hidden="1"/>
    </xf>
    <xf numFmtId="0" fontId="11" fillId="5" borderId="0" xfId="0" applyFont="1" applyFill="1" applyBorder="1" applyAlignment="1">
      <alignment vertical="center"/>
    </xf>
    <xf numFmtId="2" fontId="0" fillId="5" borderId="20" xfId="0" applyNumberFormat="1" applyFill="1" applyBorder="1" applyAlignment="1" applyProtection="1">
      <alignment horizontal="center" vertical="center"/>
      <protection hidden="1"/>
    </xf>
    <xf numFmtId="0" fontId="11" fillId="5" borderId="20" xfId="0" applyFont="1" applyFill="1" applyBorder="1" applyAlignment="1">
      <alignment vertical="center"/>
    </xf>
    <xf numFmtId="0" fontId="0" fillId="5" borderId="21" xfId="0" applyFill="1" applyBorder="1" applyAlignment="1" applyProtection="1">
      <alignment vertical="center"/>
      <protection hidden="1"/>
    </xf>
    <xf numFmtId="2" fontId="0" fillId="5" borderId="11" xfId="0" applyNumberFormat="1" applyFill="1" applyBorder="1" applyAlignment="1" applyProtection="1">
      <alignment horizontal="center" vertical="center"/>
      <protection hidden="1"/>
    </xf>
    <xf numFmtId="0" fontId="11" fillId="5" borderId="11" xfId="0" applyFont="1" applyFill="1" applyBorder="1" applyAlignment="1">
      <alignment vertical="center"/>
    </xf>
    <xf numFmtId="0" fontId="0" fillId="5" borderId="12" xfId="0" applyFill="1" applyBorder="1" applyAlignment="1" applyProtection="1">
      <alignment vertical="center"/>
      <protection hidden="1"/>
    </xf>
    <xf numFmtId="0" fontId="3" fillId="5" borderId="17" xfId="0" applyFont="1" applyFill="1" applyBorder="1" applyAlignment="1">
      <alignment vertical="center"/>
    </xf>
    <xf numFmtId="0" fontId="3" fillId="5" borderId="22" xfId="0" applyFont="1" applyFill="1" applyBorder="1" applyAlignment="1">
      <alignment vertical="center"/>
    </xf>
    <xf numFmtId="0" fontId="11" fillId="5" borderId="17" xfId="0" applyFont="1" applyFill="1" applyBorder="1" applyAlignment="1">
      <alignment vertical="center"/>
    </xf>
    <xf numFmtId="2" fontId="5" fillId="5" borderId="0" xfId="0" applyNumberFormat="1" applyFont="1" applyFill="1" applyBorder="1" applyAlignment="1" applyProtection="1">
      <alignment horizontal="center" vertical="center"/>
      <protection hidden="1"/>
    </xf>
    <xf numFmtId="2" fontId="5" fillId="5" borderId="20" xfId="0" applyNumberFormat="1" applyFont="1" applyFill="1" applyBorder="1" applyAlignment="1" applyProtection="1">
      <alignment horizontal="center" vertical="center"/>
      <protection hidden="1"/>
    </xf>
    <xf numFmtId="2" fontId="5" fillId="5" borderId="11" xfId="0" applyNumberFormat="1" applyFont="1" applyFill="1" applyBorder="1" applyAlignment="1" applyProtection="1">
      <alignment horizontal="center" vertical="center"/>
      <protection hidden="1"/>
    </xf>
    <xf numFmtId="0" fontId="11" fillId="5" borderId="17" xfId="0" applyFont="1" applyFill="1" applyBorder="1" applyAlignment="1">
      <alignment horizontal="center" vertical="center"/>
    </xf>
    <xf numFmtId="0" fontId="0" fillId="5" borderId="8" xfId="0" applyFill="1" applyBorder="1" applyAlignment="1" applyProtection="1">
      <alignment vertical="center"/>
      <protection hidden="1"/>
    </xf>
    <xf numFmtId="0" fontId="0" fillId="5" borderId="23" xfId="0" applyFill="1" applyBorder="1" applyAlignment="1" applyProtection="1">
      <alignment vertical="center"/>
      <protection hidden="1"/>
    </xf>
    <xf numFmtId="0" fontId="0" fillId="8" borderId="0" xfId="0" applyFill="1"/>
    <xf numFmtId="0" fontId="0" fillId="8" borderId="0" xfId="0" applyFill="1" applyAlignment="1">
      <alignment horizontal="right"/>
    </xf>
    <xf numFmtId="49" fontId="0" fillId="2" borderId="0" xfId="0" applyNumberFormat="1" applyFill="1"/>
    <xf numFmtId="2" fontId="0" fillId="2" borderId="0" xfId="0" applyNumberFormat="1" applyFont="1" applyFill="1"/>
    <xf numFmtId="0" fontId="0" fillId="2" borderId="0" xfId="0" applyFont="1" applyFill="1"/>
    <xf numFmtId="0" fontId="0" fillId="2" borderId="0" xfId="0" applyFont="1" applyFill="1" applyAlignment="1">
      <alignment horizontal="right"/>
    </xf>
    <xf numFmtId="0" fontId="22" fillId="2" borderId="0" xfId="0" applyFont="1" applyFill="1" applyAlignment="1">
      <alignment horizontal="left" indent="1"/>
    </xf>
    <xf numFmtId="2" fontId="5" fillId="9" borderId="0" xfId="0" applyNumberFormat="1" applyFont="1" applyFill="1"/>
    <xf numFmtId="0" fontId="5" fillId="9" borderId="0" xfId="0" applyFont="1" applyFill="1"/>
    <xf numFmtId="0" fontId="22" fillId="2" borderId="0" xfId="0" applyFont="1" applyFill="1"/>
    <xf numFmtId="0" fontId="21" fillId="5" borderId="10" xfId="0" applyFont="1" applyFill="1" applyBorder="1" applyAlignment="1">
      <alignment horizontal="left" vertical="center" indent="1"/>
    </xf>
    <xf numFmtId="0" fontId="0" fillId="5" borderId="1" xfId="0" applyFill="1" applyBorder="1" applyAlignment="1">
      <alignment horizontal="right"/>
    </xf>
    <xf numFmtId="0" fontId="5" fillId="5" borderId="0" xfId="0" applyFont="1" applyFill="1" applyBorder="1" applyAlignment="1">
      <alignment horizontal="right"/>
    </xf>
    <xf numFmtId="2" fontId="0" fillId="5" borderId="11" xfId="0" applyNumberFormat="1" applyFont="1" applyFill="1" applyBorder="1" applyAlignment="1" applyProtection="1">
      <alignment horizontal="right"/>
      <protection hidden="1"/>
    </xf>
    <xf numFmtId="2" fontId="26" fillId="5" borderId="0" xfId="0" applyNumberFormat="1" applyFont="1" applyFill="1" applyBorder="1" applyAlignment="1" applyProtection="1">
      <alignment horizontal="center" shrinkToFit="1"/>
      <protection locked="0"/>
    </xf>
    <xf numFmtId="0" fontId="0" fillId="5" borderId="0" xfId="0" applyFill="1" applyBorder="1" applyAlignment="1">
      <alignment horizontal="right"/>
    </xf>
    <xf numFmtId="0" fontId="11"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7" xfId="0" applyFont="1" applyFill="1" applyBorder="1" applyAlignment="1">
      <alignment horizontal="center" vertical="center"/>
    </xf>
    <xf numFmtId="0" fontId="5" fillId="5" borderId="11" xfId="0" applyFont="1" applyFill="1" applyBorder="1" applyAlignment="1">
      <alignment horizontal="center"/>
    </xf>
    <xf numFmtId="0" fontId="5" fillId="5" borderId="12" xfId="0" applyFont="1" applyFill="1" applyBorder="1" applyAlignment="1">
      <alignment horizontal="center"/>
    </xf>
    <xf numFmtId="0" fontId="3" fillId="5" borderId="22" xfId="0" applyFont="1" applyFill="1" applyBorder="1" applyAlignment="1">
      <alignment horizontal="center" vertical="center"/>
    </xf>
    <xf numFmtId="0" fontId="11" fillId="5" borderId="0" xfId="0" applyFont="1" applyFill="1" applyBorder="1" applyAlignment="1">
      <alignment horizontal="left"/>
    </xf>
    <xf numFmtId="2" fontId="26" fillId="5" borderId="11" xfId="0" applyNumberFormat="1" applyFont="1" applyFill="1" applyBorder="1" applyAlignment="1" applyProtection="1">
      <alignment horizontal="center" shrinkToFit="1"/>
      <protection locked="0"/>
    </xf>
    <xf numFmtId="2" fontId="0" fillId="5" borderId="0" xfId="0" applyNumberFormat="1" applyFont="1" applyFill="1" applyBorder="1" applyAlignment="1" applyProtection="1">
      <alignment horizontal="right"/>
      <protection hidden="1"/>
    </xf>
    <xf numFmtId="0" fontId="0" fillId="5" borderId="10" xfId="0" applyFill="1" applyBorder="1" applyAlignment="1">
      <alignment horizontal="right"/>
    </xf>
    <xf numFmtId="0" fontId="0" fillId="5" borderId="11" xfId="0" applyFill="1" applyBorder="1" applyAlignment="1">
      <alignment horizontal="right"/>
    </xf>
    <xf numFmtId="1" fontId="5" fillId="3" borderId="11" xfId="0" applyNumberFormat="1" applyFont="1" applyFill="1" applyBorder="1" applyAlignment="1" applyProtection="1">
      <alignment horizontal="center" vertical="center"/>
      <protection hidden="1"/>
    </xf>
    <xf numFmtId="1" fontId="5" fillId="5" borderId="12" xfId="0" applyNumberFormat="1" applyFont="1" applyFill="1" applyBorder="1" applyAlignment="1" applyProtection="1">
      <alignment horizontal="center" vertical="center"/>
      <protection hidden="1"/>
    </xf>
    <xf numFmtId="2" fontId="26" fillId="5" borderId="7" xfId="0" applyNumberFormat="1" applyFont="1" applyFill="1" applyBorder="1" applyAlignment="1" applyProtection="1">
      <alignment horizontal="center" vertical="center" shrinkToFit="1"/>
      <protection locked="0"/>
    </xf>
    <xf numFmtId="2" fontId="26" fillId="5" borderId="8" xfId="0" applyNumberFormat="1" applyFont="1" applyFill="1" applyBorder="1" applyAlignment="1" applyProtection="1">
      <alignment horizontal="center" vertical="center" shrinkToFit="1"/>
      <protection locked="0"/>
    </xf>
    <xf numFmtId="2" fontId="26" fillId="5" borderId="0" xfId="0" applyNumberFormat="1" applyFont="1" applyFill="1" applyBorder="1" applyAlignment="1" applyProtection="1">
      <alignment horizontal="center" vertical="center" shrinkToFit="1"/>
      <protection locked="0"/>
    </xf>
    <xf numFmtId="2" fontId="26" fillId="5" borderId="9" xfId="0" applyNumberFormat="1" applyFont="1" applyFill="1" applyBorder="1" applyAlignment="1" applyProtection="1">
      <alignment horizontal="center" vertical="center" shrinkToFit="1"/>
      <protection locked="0"/>
    </xf>
    <xf numFmtId="0" fontId="3" fillId="5" borderId="7" xfId="0" applyFont="1" applyFill="1" applyBorder="1" applyAlignment="1">
      <alignment horizontal="center" vertical="center"/>
    </xf>
    <xf numFmtId="0" fontId="0" fillId="5" borderId="1" xfId="0" applyFill="1" applyBorder="1" applyAlignment="1">
      <alignment horizontal="right" vertical="center"/>
    </xf>
    <xf numFmtId="0" fontId="0" fillId="5" borderId="0" xfId="0" applyFill="1" applyBorder="1" applyAlignment="1">
      <alignment horizontal="right"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8" xfId="0" applyFont="1" applyFill="1" applyBorder="1" applyAlignment="1">
      <alignment horizontal="center"/>
    </xf>
    <xf numFmtId="0" fontId="10" fillId="5" borderId="17" xfId="0" applyFont="1" applyFill="1" applyBorder="1" applyAlignment="1">
      <alignment horizontal="center"/>
    </xf>
    <xf numFmtId="0" fontId="10" fillId="5" borderId="22" xfId="0" applyFont="1" applyFill="1" applyBorder="1" applyAlignment="1">
      <alignment horizontal="center"/>
    </xf>
    <xf numFmtId="0" fontId="11" fillId="5" borderId="7" xfId="0" applyFont="1" applyFill="1" applyBorder="1" applyAlignment="1">
      <alignment horizontal="center"/>
    </xf>
    <xf numFmtId="2" fontId="26" fillId="5" borderId="11" xfId="0" applyNumberFormat="1" applyFont="1" applyFill="1" applyBorder="1" applyAlignment="1" applyProtection="1">
      <alignment horizontal="center" vertical="center" shrinkToFit="1"/>
      <protection locked="0"/>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7" xfId="0" applyFont="1" applyFill="1" applyBorder="1" applyAlignment="1">
      <alignment horizontal="center" wrapText="1"/>
    </xf>
    <xf numFmtId="0" fontId="11" fillId="5" borderId="0" xfId="0" applyFont="1" applyFill="1" applyBorder="1" applyAlignment="1">
      <alignment horizontal="center" wrapText="1"/>
    </xf>
    <xf numFmtId="0" fontId="0" fillId="5" borderId="6" xfId="0" applyFill="1" applyBorder="1" applyAlignment="1">
      <alignment horizontal="right" vertical="center"/>
    </xf>
    <xf numFmtId="0" fontId="5" fillId="5" borderId="7" xfId="0" applyFont="1" applyFill="1" applyBorder="1" applyAlignment="1">
      <alignment horizontal="right" vertical="center"/>
    </xf>
    <xf numFmtId="0" fontId="2" fillId="3" borderId="1" xfId="0" applyFont="1" applyFill="1" applyBorder="1" applyAlignment="1">
      <alignment horizontal="right" vertical="center"/>
    </xf>
    <xf numFmtId="0" fontId="2" fillId="5" borderId="0" xfId="0" applyFont="1" applyFill="1" applyBorder="1" applyAlignment="1">
      <alignment horizontal="right"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 fillId="5" borderId="0" xfId="0" applyFont="1" applyFill="1" applyBorder="1" applyAlignment="1">
      <alignment horizontal="right"/>
    </xf>
    <xf numFmtId="0" fontId="2" fillId="5" borderId="11" xfId="0" applyFont="1" applyFill="1" applyBorder="1" applyAlignment="1">
      <alignment horizontal="right"/>
    </xf>
    <xf numFmtId="3" fontId="5" fillId="5" borderId="0" xfId="0" applyNumberFormat="1" applyFont="1" applyFill="1" applyBorder="1" applyAlignment="1" applyProtection="1">
      <alignment horizontal="center" vertical="center"/>
      <protection hidden="1"/>
    </xf>
    <xf numFmtId="3" fontId="5" fillId="5" borderId="9" xfId="0" applyNumberFormat="1" applyFont="1" applyFill="1" applyBorder="1" applyAlignment="1" applyProtection="1">
      <alignment horizontal="center" vertical="center"/>
      <protection hidden="1"/>
    </xf>
    <xf numFmtId="2" fontId="3" fillId="7" borderId="18" xfId="0" applyNumberFormat="1" applyFont="1" applyFill="1" applyBorder="1" applyAlignment="1" applyProtection="1">
      <alignment horizontal="center"/>
    </xf>
    <xf numFmtId="2" fontId="3" fillId="7" borderId="22" xfId="0" applyNumberFormat="1" applyFont="1" applyFill="1" applyBorder="1" applyAlignment="1" applyProtection="1">
      <alignment horizontal="center"/>
    </xf>
    <xf numFmtId="0" fontId="1" fillId="5" borderId="0" xfId="0" applyFont="1" applyFill="1" applyBorder="1" applyAlignment="1">
      <alignment horizontal="center"/>
    </xf>
    <xf numFmtId="0" fontId="1" fillId="5" borderId="9" xfId="0" applyFont="1" applyFill="1" applyBorder="1" applyAlignment="1">
      <alignment horizontal="center"/>
    </xf>
    <xf numFmtId="0" fontId="11" fillId="5" borderId="11" xfId="0" applyFont="1" applyFill="1" applyBorder="1" applyAlignment="1">
      <alignment horizontal="left"/>
    </xf>
    <xf numFmtId="0" fontId="3" fillId="5" borderId="6"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2" fontId="3" fillId="5" borderId="11" xfId="0" applyNumberFormat="1" applyFont="1" applyFill="1" applyBorder="1" applyAlignment="1" applyProtection="1">
      <alignment horizontal="center"/>
      <protection hidden="1"/>
    </xf>
    <xf numFmtId="2" fontId="3" fillId="5" borderId="12" xfId="0" applyNumberFormat="1" applyFont="1" applyFill="1" applyBorder="1" applyAlignment="1" applyProtection="1">
      <alignment horizontal="center"/>
      <protection hidden="1"/>
    </xf>
    <xf numFmtId="2" fontId="5" fillId="5" borderId="0" xfId="0" applyNumberFormat="1" applyFont="1" applyFill="1" applyBorder="1" applyAlignment="1" applyProtection="1">
      <alignment horizontal="left"/>
      <protection hidden="1"/>
    </xf>
    <xf numFmtId="0" fontId="28" fillId="5" borderId="7" xfId="0" applyFont="1" applyFill="1" applyBorder="1" applyAlignment="1">
      <alignment horizontal="left" vertical="center"/>
    </xf>
    <xf numFmtId="0" fontId="28" fillId="5" borderId="8" xfId="0" applyFont="1" applyFill="1" applyBorder="1" applyAlignment="1">
      <alignment horizontal="left" vertical="center"/>
    </xf>
    <xf numFmtId="0" fontId="28" fillId="5" borderId="0" xfId="0" applyFont="1" applyFill="1" applyBorder="1" applyAlignment="1">
      <alignment horizontal="left" vertical="center"/>
    </xf>
    <xf numFmtId="0" fontId="28" fillId="5" borderId="9" xfId="0" applyFont="1" applyFill="1" applyBorder="1" applyAlignment="1">
      <alignment horizontal="left" vertical="center"/>
    </xf>
    <xf numFmtId="2" fontId="3" fillId="5" borderId="0" xfId="0" applyNumberFormat="1" applyFont="1" applyFill="1" applyBorder="1" applyAlignment="1" applyProtection="1">
      <alignment horizontal="center"/>
      <protection hidden="1"/>
    </xf>
    <xf numFmtId="2" fontId="3" fillId="5" borderId="9" xfId="0" applyNumberFormat="1" applyFont="1" applyFill="1" applyBorder="1" applyAlignment="1" applyProtection="1">
      <alignment horizontal="center"/>
      <protection hidden="1"/>
    </xf>
    <xf numFmtId="0" fontId="0" fillId="5" borderId="24" xfId="0" applyFill="1" applyBorder="1" applyAlignment="1">
      <alignment horizontal="right" vertical="center"/>
    </xf>
    <xf numFmtId="0" fontId="0" fillId="5" borderId="20" xfId="0" applyFill="1" applyBorder="1" applyAlignment="1">
      <alignment horizontal="right" vertical="center"/>
    </xf>
    <xf numFmtId="2" fontId="0" fillId="5" borderId="20" xfId="0" applyNumberFormat="1" applyFill="1" applyBorder="1" applyAlignment="1" applyProtection="1">
      <alignment horizontal="center" vertical="center"/>
      <protection hidden="1"/>
    </xf>
    <xf numFmtId="0" fontId="0" fillId="5" borderId="10" xfId="0" applyFill="1" applyBorder="1" applyAlignment="1">
      <alignment horizontal="right" vertical="center"/>
    </xf>
    <xf numFmtId="0" fontId="0" fillId="5" borderId="11" xfId="0" applyFill="1" applyBorder="1" applyAlignment="1">
      <alignment horizontal="right" vertical="center"/>
    </xf>
    <xf numFmtId="2" fontId="0" fillId="5" borderId="0" xfId="0" applyNumberFormat="1" applyFont="1" applyFill="1" applyBorder="1" applyAlignment="1" applyProtection="1">
      <alignment horizontal="left"/>
      <protection hidden="1"/>
    </xf>
    <xf numFmtId="2" fontId="0" fillId="5" borderId="0" xfId="0" applyNumberFormat="1" applyFill="1" applyBorder="1" applyAlignment="1" applyProtection="1">
      <alignment horizontal="center" vertical="center"/>
      <protection hidden="1"/>
    </xf>
    <xf numFmtId="2" fontId="5" fillId="5" borderId="11" xfId="0" applyNumberFormat="1" applyFont="1" applyFill="1" applyBorder="1" applyAlignment="1" applyProtection="1">
      <alignment horizontal="left"/>
      <protection hidden="1"/>
    </xf>
    <xf numFmtId="0" fontId="27" fillId="5" borderId="0" xfId="0" applyFont="1" applyFill="1" applyBorder="1" applyAlignment="1" applyProtection="1">
      <alignment horizontal="left"/>
      <protection locked="0"/>
    </xf>
    <xf numFmtId="0" fontId="27" fillId="5" borderId="9" xfId="0" applyFont="1" applyFill="1" applyBorder="1" applyAlignment="1" applyProtection="1">
      <alignment horizontal="left"/>
      <protection locked="0"/>
    </xf>
    <xf numFmtId="2" fontId="0" fillId="5" borderId="0" xfId="0" applyNumberFormat="1" applyFont="1" applyFill="1" applyBorder="1" applyAlignment="1" applyProtection="1">
      <alignment horizontal="right" shrinkToFit="1"/>
      <protection hidden="1"/>
    </xf>
    <xf numFmtId="0" fontId="3" fillId="5" borderId="17" xfId="0" applyFont="1" applyFill="1" applyBorder="1" applyAlignment="1">
      <alignment horizontal="left" vertical="center"/>
    </xf>
    <xf numFmtId="0" fontId="3" fillId="5" borderId="22" xfId="0" applyFont="1" applyFill="1" applyBorder="1" applyAlignment="1">
      <alignment horizontal="left" vertical="center"/>
    </xf>
    <xf numFmtId="2" fontId="5" fillId="0" borderId="0" xfId="0" applyNumberFormat="1" applyFont="1" applyFill="1" applyBorder="1" applyAlignment="1">
      <alignment horizontal="center"/>
    </xf>
    <xf numFmtId="2" fontId="0" fillId="5" borderId="11" xfId="0" applyNumberFormat="1" applyFill="1" applyBorder="1" applyAlignment="1" applyProtection="1">
      <alignment horizontal="center" vertical="center"/>
      <protection hidden="1"/>
    </xf>
    <xf numFmtId="0" fontId="0" fillId="5" borderId="18" xfId="0" applyFill="1" applyBorder="1" applyAlignment="1">
      <alignment horizontal="right" vertical="center"/>
    </xf>
    <xf numFmtId="0" fontId="0" fillId="5" borderId="17" xfId="0" applyFill="1" applyBorder="1" applyAlignment="1">
      <alignment horizontal="right" vertical="center"/>
    </xf>
    <xf numFmtId="0" fontId="11" fillId="5" borderId="7" xfId="0" applyFont="1" applyFill="1" applyBorder="1" applyAlignment="1" applyProtection="1">
      <alignment horizontal="left"/>
      <protection hidden="1"/>
    </xf>
    <xf numFmtId="0" fontId="0" fillId="0" borderId="0" xfId="0" applyFill="1" applyBorder="1" applyAlignment="1">
      <alignment horizontal="right"/>
    </xf>
    <xf numFmtId="0" fontId="3" fillId="0" borderId="0" xfId="0" applyFont="1" applyFill="1" applyBorder="1" applyAlignment="1">
      <alignment horizontal="center" vertical="center"/>
    </xf>
    <xf numFmtId="0" fontId="11" fillId="0" borderId="0" xfId="0" applyFont="1" applyFill="1" applyBorder="1" applyAlignment="1">
      <alignment horizontal="center"/>
    </xf>
    <xf numFmtId="0" fontId="3" fillId="5" borderId="1" xfId="0" applyFont="1" applyFill="1" applyBorder="1" applyAlignment="1">
      <alignment horizontal="right"/>
    </xf>
    <xf numFmtId="0" fontId="3" fillId="5" borderId="0" xfId="0" applyFont="1" applyFill="1" applyBorder="1" applyAlignment="1">
      <alignment horizontal="right"/>
    </xf>
    <xf numFmtId="0" fontId="3" fillId="5" borderId="10" xfId="0" applyFont="1" applyFill="1" applyBorder="1" applyAlignment="1">
      <alignment horizontal="right"/>
    </xf>
    <xf numFmtId="0" fontId="3" fillId="5" borderId="11" xfId="0" applyFont="1" applyFill="1" applyBorder="1" applyAlignment="1">
      <alignment horizontal="right"/>
    </xf>
    <xf numFmtId="2" fontId="3" fillId="5" borderId="11" xfId="0" applyNumberFormat="1" applyFont="1" applyFill="1" applyBorder="1" applyAlignment="1" applyProtection="1">
      <alignment horizontal="right" shrinkToFit="1"/>
      <protection hidden="1"/>
    </xf>
    <xf numFmtId="2" fontId="5" fillId="5" borderId="7" xfId="0" applyNumberFormat="1" applyFont="1" applyFill="1" applyBorder="1" applyAlignment="1" applyProtection="1">
      <alignment horizontal="right" shrinkToFit="1"/>
      <protection hidden="1"/>
    </xf>
    <xf numFmtId="2" fontId="3" fillId="5" borderId="0" xfId="0" applyNumberFormat="1" applyFont="1" applyFill="1" applyBorder="1" applyAlignment="1" applyProtection="1">
      <alignment horizontal="right" shrinkToFit="1"/>
      <protection hidden="1"/>
    </xf>
    <xf numFmtId="0" fontId="0" fillId="2" borderId="11" xfId="0" applyFill="1" applyBorder="1" applyAlignment="1">
      <alignment horizontal="right"/>
    </xf>
    <xf numFmtId="0" fontId="0" fillId="2" borderId="11" xfId="0" applyFill="1" applyBorder="1" applyAlignment="1">
      <alignment horizontal="left"/>
    </xf>
    <xf numFmtId="0" fontId="0" fillId="5" borderId="6" xfId="0" applyFill="1" applyBorder="1" applyAlignment="1">
      <alignment horizontal="right"/>
    </xf>
    <xf numFmtId="0" fontId="0" fillId="5" borderId="7" xfId="0" applyFill="1" applyBorder="1" applyAlignment="1">
      <alignment horizontal="right"/>
    </xf>
    <xf numFmtId="2" fontId="5" fillId="5" borderId="0" xfId="0" applyNumberFormat="1" applyFont="1" applyFill="1" applyBorder="1" applyAlignment="1" applyProtection="1">
      <alignment horizontal="right"/>
      <protection hidden="1"/>
    </xf>
    <xf numFmtId="0" fontId="5" fillId="5" borderId="1" xfId="0" applyFont="1" applyFill="1" applyBorder="1" applyAlignment="1" applyProtection="1">
      <alignment horizontal="center"/>
      <protection hidden="1"/>
    </xf>
    <xf numFmtId="0" fontId="5" fillId="5" borderId="0" xfId="0" applyFont="1" applyFill="1" applyBorder="1" applyAlignment="1" applyProtection="1">
      <alignment horizontal="center"/>
      <protection hidden="1"/>
    </xf>
    <xf numFmtId="0" fontId="5" fillId="5" borderId="9" xfId="0" applyFont="1" applyFill="1" applyBorder="1" applyAlignment="1" applyProtection="1">
      <alignment horizontal="center"/>
      <protection hidden="1"/>
    </xf>
    <xf numFmtId="2" fontId="3" fillId="5" borderId="11" xfId="0" applyNumberFormat="1" applyFont="1" applyFill="1" applyBorder="1" applyAlignment="1" applyProtection="1">
      <alignment horizontal="right"/>
      <protection hidden="1"/>
    </xf>
    <xf numFmtId="2" fontId="5" fillId="5" borderId="7" xfId="0" applyNumberFormat="1" applyFont="1" applyFill="1" applyBorder="1" applyAlignment="1" applyProtection="1">
      <alignment horizontal="right"/>
      <protection hidden="1"/>
    </xf>
    <xf numFmtId="0" fontId="5" fillId="5" borderId="7" xfId="0" applyFont="1" applyFill="1" applyBorder="1" applyAlignment="1" applyProtection="1">
      <alignment horizontal="right"/>
      <protection hidden="1"/>
    </xf>
    <xf numFmtId="0" fontId="3" fillId="2"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1" fillId="2" borderId="0" xfId="2" applyFill="1"/>
    <xf numFmtId="0" fontId="3" fillId="0" borderId="6" xfId="2" applyFont="1" applyBorder="1" applyAlignment="1">
      <alignment vertical="center" wrapText="1"/>
    </xf>
    <xf numFmtId="0" fontId="3" fillId="0" borderId="7" xfId="2" applyFont="1" applyBorder="1" applyAlignment="1">
      <alignment vertical="center" wrapText="1"/>
    </xf>
    <xf numFmtId="0" fontId="3" fillId="0" borderId="8" xfId="2" applyFont="1" applyBorder="1" applyAlignment="1">
      <alignment vertical="center" wrapText="1"/>
    </xf>
    <xf numFmtId="49" fontId="1" fillId="2" borderId="0" xfId="2" applyNumberFormat="1" applyFill="1"/>
    <xf numFmtId="0" fontId="3" fillId="0" borderId="1" xfId="2" applyFont="1" applyBorder="1" applyAlignment="1">
      <alignment vertical="center" wrapText="1"/>
    </xf>
    <xf numFmtId="0" fontId="3" fillId="0" borderId="0" xfId="2" applyFont="1" applyAlignment="1">
      <alignment horizontal="left" vertical="center" wrapText="1"/>
    </xf>
    <xf numFmtId="0" fontId="3" fillId="0" borderId="0" xfId="2" applyFont="1" applyAlignment="1">
      <alignment horizontal="right" vertical="center" wrapText="1"/>
    </xf>
    <xf numFmtId="0" fontId="3" fillId="0" borderId="9" xfId="2" applyFont="1" applyBorder="1" applyAlignment="1">
      <alignment vertical="center" wrapText="1"/>
    </xf>
    <xf numFmtId="0" fontId="4" fillId="0" borderId="0" xfId="1" applyAlignment="1">
      <alignment horizontal="left" vertical="center" wrapText="1"/>
      <protection locked="0"/>
    </xf>
    <xf numFmtId="0" fontId="4" fillId="0" borderId="0" xfId="1" applyAlignment="1">
      <alignment horizontal="right" vertical="center" wrapText="1"/>
      <protection locked="0"/>
    </xf>
    <xf numFmtId="0" fontId="3" fillId="0" borderId="10" xfId="2" applyFont="1" applyBorder="1" applyAlignment="1">
      <alignment vertical="center" wrapText="1"/>
    </xf>
    <xf numFmtId="0" fontId="3" fillId="0" borderId="11" xfId="2" applyFont="1" applyBorder="1" applyAlignment="1">
      <alignment vertical="center" wrapText="1"/>
    </xf>
    <xf numFmtId="0" fontId="3" fillId="0" borderId="12" xfId="2" applyFont="1" applyBorder="1" applyAlignment="1">
      <alignment vertical="center" wrapText="1"/>
    </xf>
    <xf numFmtId="0" fontId="1" fillId="2" borderId="0" xfId="2" applyFill="1" applyAlignment="1" applyProtection="1">
      <alignment horizontal="center"/>
      <protection locked="0"/>
    </xf>
    <xf numFmtId="0" fontId="3" fillId="0" borderId="7" xfId="2" applyFont="1" applyBorder="1" applyAlignment="1">
      <alignment horizontal="left" vertical="center" wrapText="1"/>
    </xf>
    <xf numFmtId="0" fontId="3" fillId="0" borderId="8"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1" xfId="2" applyFont="1" applyBorder="1" applyAlignment="1">
      <alignment horizontal="left" vertical="center" wrapText="1"/>
    </xf>
    <xf numFmtId="0" fontId="3" fillId="0" borderId="12" xfId="2" applyFont="1" applyBorder="1" applyAlignment="1">
      <alignment vertical="center"/>
    </xf>
    <xf numFmtId="0" fontId="21" fillId="0" borderId="0" xfId="2" applyFont="1" applyAlignment="1">
      <alignment horizontal="left" wrapText="1"/>
    </xf>
    <xf numFmtId="0" fontId="4" fillId="0" borderId="0" xfId="1" applyAlignment="1">
      <protection locked="0"/>
    </xf>
    <xf numFmtId="0" fontId="1" fillId="0" borderId="0" xfId="2"/>
    <xf numFmtId="0" fontId="21" fillId="0" borderId="0" xfId="2" applyFont="1" applyAlignment="1">
      <alignment horizontal="left"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21" fillId="0" borderId="0" xfId="0" applyFont="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3" fontId="26" fillId="10" borderId="7" xfId="0" applyNumberFormat="1" applyFont="1" applyFill="1" applyBorder="1" applyAlignment="1" applyProtection="1">
      <alignment horizontal="center" vertical="center"/>
    </xf>
    <xf numFmtId="3" fontId="26" fillId="10" borderId="8" xfId="0" applyNumberFormat="1" applyFont="1" applyFill="1" applyBorder="1" applyAlignment="1" applyProtection="1">
      <alignment horizontal="center" vertical="center"/>
    </xf>
    <xf numFmtId="2" fontId="26" fillId="10" borderId="7" xfId="0" applyNumberFormat="1" applyFont="1" applyFill="1" applyBorder="1" applyAlignment="1" applyProtection="1">
      <alignment horizontal="center" vertical="center" shrinkToFit="1"/>
    </xf>
    <xf numFmtId="2" fontId="26" fillId="10" borderId="8" xfId="0" applyNumberFormat="1" applyFont="1" applyFill="1" applyBorder="1" applyAlignment="1" applyProtection="1">
      <alignment horizontal="center" vertical="center" shrinkToFit="1"/>
    </xf>
    <xf numFmtId="2" fontId="26" fillId="10" borderId="11" xfId="0" applyNumberFormat="1" applyFont="1" applyFill="1" applyBorder="1" applyAlignment="1" applyProtection="1">
      <alignment horizontal="center" vertical="center" shrinkToFit="1"/>
    </xf>
    <xf numFmtId="2" fontId="26" fillId="10" borderId="12" xfId="0" applyNumberFormat="1" applyFont="1" applyFill="1" applyBorder="1" applyAlignment="1" applyProtection="1">
      <alignment horizontal="center" vertical="center" shrinkToFit="1"/>
    </xf>
    <xf numFmtId="2" fontId="26" fillId="10" borderId="0" xfId="0" applyNumberFormat="1" applyFont="1" applyFill="1" applyBorder="1" applyAlignment="1" applyProtection="1">
      <alignment horizontal="center" shrinkToFit="1"/>
    </xf>
    <xf numFmtId="2" fontId="26" fillId="10" borderId="0" xfId="0" applyNumberFormat="1" applyFont="1" applyFill="1" applyBorder="1" applyAlignment="1" applyProtection="1">
      <alignment shrinkToFit="1"/>
    </xf>
    <xf numFmtId="0" fontId="1" fillId="0" borderId="6" xfId="0" applyFont="1" applyBorder="1" applyAlignment="1" applyProtection="1">
      <alignment vertical="center"/>
    </xf>
    <xf numFmtId="0" fontId="25" fillId="0" borderId="7" xfId="0" applyFont="1" applyBorder="1" applyAlignment="1" applyProtection="1">
      <alignment vertical="center" wrapText="1"/>
    </xf>
    <xf numFmtId="0" fontId="34" fillId="0" borderId="7" xfId="0" applyFont="1" applyBorder="1" applyAlignment="1" applyProtection="1">
      <alignment horizontal="left" vertical="center" wrapText="1" indent="1"/>
    </xf>
    <xf numFmtId="0" fontId="34" fillId="0" borderId="8" xfId="0" applyFont="1" applyBorder="1" applyAlignment="1" applyProtection="1">
      <alignment horizontal="left" vertical="center" wrapText="1" inden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0" fillId="0" borderId="7" xfId="0" applyFill="1" applyBorder="1" applyAlignment="1" applyProtection="1">
      <alignment vertical="center"/>
    </xf>
    <xf numFmtId="2" fontId="0" fillId="0" borderId="7" xfId="0" applyNumberFormat="1" applyFill="1" applyBorder="1" applyAlignment="1" applyProtection="1">
      <alignment vertical="center"/>
    </xf>
    <xf numFmtId="2" fontId="1" fillId="0" borderId="19" xfId="0" applyNumberFormat="1" applyFont="1" applyFill="1" applyBorder="1" applyAlignment="1" applyProtection="1">
      <alignment vertical="center"/>
    </xf>
    <xf numFmtId="0" fontId="1" fillId="0" borderId="1" xfId="0" applyFont="1" applyBorder="1" applyAlignment="1" applyProtection="1">
      <alignment vertical="center"/>
    </xf>
    <xf numFmtId="0" fontId="25" fillId="0" borderId="0" xfId="0" applyFont="1" applyAlignment="1" applyProtection="1">
      <alignment vertical="center" wrapText="1"/>
    </xf>
    <xf numFmtId="0" fontId="34" fillId="0" borderId="0" xfId="0" applyFont="1" applyAlignment="1" applyProtection="1">
      <alignment horizontal="left" vertical="center" wrapText="1" indent="1"/>
    </xf>
    <xf numFmtId="0" fontId="34" fillId="0" borderId="9" xfId="0" applyFont="1" applyBorder="1" applyAlignment="1" applyProtection="1">
      <alignment horizontal="left" vertical="center" wrapText="1" inden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17" xfId="0" applyNumberFormat="1" applyFont="1" applyFill="1" applyBorder="1" applyAlignment="1" applyProtection="1">
      <alignment horizontal="center" vertical="center"/>
    </xf>
    <xf numFmtId="2" fontId="3" fillId="0" borderId="19" xfId="0" applyNumberFormat="1" applyFont="1" applyFill="1" applyBorder="1" applyAlignment="1" applyProtection="1">
      <alignment horizontal="center" vertical="center"/>
    </xf>
    <xf numFmtId="0" fontId="36" fillId="0" borderId="1" xfId="3" applyFont="1" applyBorder="1" applyAlignment="1" applyProtection="1">
      <alignment vertical="center"/>
    </xf>
    <xf numFmtId="0" fontId="36" fillId="0" borderId="0" xfId="3" applyFont="1" applyProtection="1"/>
    <xf numFmtId="0" fontId="34" fillId="0" borderId="11" xfId="0" applyFont="1" applyBorder="1" applyAlignment="1" applyProtection="1">
      <alignment horizontal="left" vertical="center" wrapText="1" indent="1"/>
    </xf>
    <xf numFmtId="0" fontId="34" fillId="0" borderId="12" xfId="0" applyFont="1" applyBorder="1" applyAlignment="1" applyProtection="1">
      <alignment horizontal="left" vertical="center" wrapText="1" indent="1"/>
    </xf>
    <xf numFmtId="0" fontId="1" fillId="0" borderId="1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168" fontId="3" fillId="0" borderId="26" xfId="0" applyNumberFormat="1" applyFont="1" applyFill="1" applyBorder="1" applyAlignment="1" applyProtection="1">
      <alignment horizontal="center" vertical="center"/>
    </xf>
    <xf numFmtId="168" fontId="3" fillId="0" borderId="17" xfId="0" applyNumberFormat="1" applyFont="1" applyFill="1" applyBorder="1" applyAlignment="1" applyProtection="1">
      <alignment horizontal="center" vertical="center"/>
    </xf>
    <xf numFmtId="168" fontId="3" fillId="0" borderId="19" xfId="0" applyNumberFormat="1" applyFont="1" applyFill="1" applyBorder="1" applyAlignment="1" applyProtection="1">
      <alignment horizontal="center" vertical="center"/>
    </xf>
    <xf numFmtId="0" fontId="8" fillId="0" borderId="1" xfId="0" applyFont="1" applyFill="1" applyBorder="1" applyAlignment="1" applyProtection="1">
      <alignment vertical="center"/>
    </xf>
    <xf numFmtId="0" fontId="0" fillId="0" borderId="13" xfId="0" applyFill="1" applyBorder="1" applyAlignment="1" applyProtection="1">
      <alignment horizontal="right" vertical="center"/>
    </xf>
    <xf numFmtId="0" fontId="31" fillId="0" borderId="26" xfId="0" applyFont="1" applyFill="1" applyBorder="1" applyAlignment="1" applyProtection="1">
      <alignment horizontal="left" vertical="center" indent="1"/>
    </xf>
    <xf numFmtId="0" fontId="31" fillId="0" borderId="17" xfId="0" applyFont="1" applyFill="1" applyBorder="1" applyAlignment="1" applyProtection="1">
      <alignment horizontal="left" vertical="center" indent="1"/>
    </xf>
    <xf numFmtId="0" fontId="31" fillId="0" borderId="22" xfId="0" applyFont="1" applyFill="1" applyBorder="1" applyAlignment="1" applyProtection="1">
      <alignment horizontal="left" vertical="center" indent="1"/>
    </xf>
    <xf numFmtId="0" fontId="0" fillId="0" borderId="18" xfId="0"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67" fontId="3" fillId="0" borderId="26" xfId="0" applyNumberFormat="1" applyFont="1" applyFill="1" applyBorder="1" applyAlignment="1" applyProtection="1">
      <alignment horizontal="center" vertical="center"/>
    </xf>
    <xf numFmtId="167" fontId="3" fillId="0" borderId="17" xfId="0" applyNumberFormat="1" applyFont="1" applyFill="1" applyBorder="1" applyAlignment="1" applyProtection="1">
      <alignment horizontal="center" vertical="center"/>
    </xf>
    <xf numFmtId="167" fontId="3" fillId="0" borderId="19" xfId="0" applyNumberFormat="1" applyFont="1" applyFill="1" applyBorder="1" applyAlignment="1" applyProtection="1">
      <alignment horizontal="center" vertical="center"/>
    </xf>
  </cellXfs>
  <cellStyles count="4">
    <cellStyle name="Hyperlink" xfId="1" builtinId="8"/>
    <cellStyle name="Normal" xfId="0" builtinId="0"/>
    <cellStyle name="Normal 2" xfId="2" xr:uid="{29BEFAFD-A7F3-48BA-A3C4-6A878A25621F}"/>
    <cellStyle name="Normal 5" xfId="3" xr:uid="{ADB84A87-34AE-4C01-A3BB-2D9FD56F3D0B}"/>
  </cellStyles>
  <dxfs count="1">
    <dxf>
      <fill>
        <patternFill>
          <bgColor rgb="FFFFC000"/>
        </patternFill>
      </fill>
    </dxf>
  </dxfs>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17727546496869E-2"/>
          <c:y val="0"/>
          <c:w val="0.90982269728361265"/>
          <c:h val="1"/>
        </c:manualLayout>
      </c:layout>
      <c:scatterChart>
        <c:scatterStyle val="lineMarker"/>
        <c:varyColors val="0"/>
        <c:ser>
          <c:idx val="1"/>
          <c:order val="0"/>
          <c:tx>
            <c:v>Beam</c:v>
          </c:tx>
          <c:spPr>
            <a:ln w="38100">
              <a:solidFill>
                <a:schemeClr val="tx1"/>
              </a:solidFill>
            </a:ln>
          </c:spPr>
          <c:marker>
            <c:symbol val="none"/>
          </c:marker>
          <c:xVal>
            <c:numRef>
              <c:f>calculations!$C$4:$D$4</c:f>
              <c:numCache>
                <c:formatCode>General</c:formatCode>
                <c:ptCount val="2"/>
                <c:pt idx="0">
                  <c:v>0.1</c:v>
                </c:pt>
                <c:pt idx="1">
                  <c:v>8.1</c:v>
                </c:pt>
              </c:numCache>
            </c:numRef>
          </c:xVal>
          <c:yVal>
            <c:numRef>
              <c:f>calculations!$C$5:$D$5</c:f>
              <c:numCache>
                <c:formatCode>General</c:formatCode>
                <c:ptCount val="2"/>
                <c:pt idx="0">
                  <c:v>0</c:v>
                </c:pt>
                <c:pt idx="1">
                  <c:v>0</c:v>
                </c:pt>
              </c:numCache>
            </c:numRef>
          </c:yVal>
          <c:smooth val="0"/>
          <c:extLst>
            <c:ext xmlns:c16="http://schemas.microsoft.com/office/drawing/2014/chart" uri="{C3380CC4-5D6E-409C-BE32-E72D297353CC}">
              <c16:uniqueId val="{00000000-435D-4F56-9BC0-AAB5B60908B5}"/>
            </c:ext>
          </c:extLst>
        </c:ser>
        <c:ser>
          <c:idx val="0"/>
          <c:order val="1"/>
          <c:tx>
            <c:v>Support 1</c:v>
          </c:tx>
          <c:spPr>
            <a:ln>
              <a:solidFill>
                <a:sysClr val="windowText" lastClr="000000"/>
              </a:solidFill>
            </a:ln>
          </c:spPr>
          <c:marker>
            <c:symbol val="none"/>
          </c:marker>
          <c:xVal>
            <c:numRef>
              <c:f>calculations!$C$7:$D$7</c:f>
              <c:numCache>
                <c:formatCode>General</c:formatCode>
                <c:ptCount val="2"/>
                <c:pt idx="0">
                  <c:v>0.1</c:v>
                </c:pt>
                <c:pt idx="1">
                  <c:v>0.1</c:v>
                </c:pt>
              </c:numCache>
            </c:numRef>
          </c:xVal>
          <c:yVal>
            <c:numRef>
              <c:f>calculations!$C$8:$D$8</c:f>
              <c:numCache>
                <c:formatCode>General</c:formatCode>
                <c:ptCount val="2"/>
                <c:pt idx="0">
                  <c:v>-1.9020000000000001</c:v>
                </c:pt>
                <c:pt idx="1">
                  <c:v>0</c:v>
                </c:pt>
              </c:numCache>
            </c:numRef>
          </c:yVal>
          <c:smooth val="0"/>
          <c:extLst>
            <c:ext xmlns:c16="http://schemas.microsoft.com/office/drawing/2014/chart" uri="{C3380CC4-5D6E-409C-BE32-E72D297353CC}">
              <c16:uniqueId val="{00000001-435D-4F56-9BC0-AAB5B60908B5}"/>
            </c:ext>
          </c:extLst>
        </c:ser>
        <c:ser>
          <c:idx val="8"/>
          <c:order val="2"/>
          <c:tx>
            <c:v>UDL dead 1</c:v>
          </c:tx>
          <c:spPr>
            <a:ln w="12700">
              <a:solidFill>
                <a:schemeClr val="tx2"/>
              </a:solidFill>
            </a:ln>
          </c:spPr>
          <c:marker>
            <c:symbol val="none"/>
          </c:marker>
          <c:xVal>
            <c:numRef>
              <c:f>calculations!$C$10:$F$10</c:f>
              <c:numCache>
                <c:formatCode>General</c:formatCode>
                <c:ptCount val="4"/>
                <c:pt idx="0">
                  <c:v>0.1</c:v>
                </c:pt>
                <c:pt idx="1">
                  <c:v>0.1</c:v>
                </c:pt>
                <c:pt idx="2">
                  <c:v>8.1</c:v>
                </c:pt>
                <c:pt idx="3">
                  <c:v>8.1</c:v>
                </c:pt>
              </c:numCache>
            </c:numRef>
          </c:xVal>
          <c:yVal>
            <c:numRef>
              <c:f>calculations!$C$11:$F$11</c:f>
              <c:numCache>
                <c:formatCode>General</c:formatCode>
                <c:ptCount val="4"/>
                <c:pt idx="0">
                  <c:v>0</c:v>
                </c:pt>
                <c:pt idx="1">
                  <c:v>3.51</c:v>
                </c:pt>
                <c:pt idx="2">
                  <c:v>3.51</c:v>
                </c:pt>
                <c:pt idx="3">
                  <c:v>0</c:v>
                </c:pt>
              </c:numCache>
            </c:numRef>
          </c:yVal>
          <c:smooth val="0"/>
          <c:extLst>
            <c:ext xmlns:c16="http://schemas.microsoft.com/office/drawing/2014/chart" uri="{C3380CC4-5D6E-409C-BE32-E72D297353CC}">
              <c16:uniqueId val="{00000002-435D-4F56-9BC0-AAB5B60908B5}"/>
            </c:ext>
          </c:extLst>
        </c:ser>
        <c:ser>
          <c:idx val="3"/>
          <c:order val="3"/>
          <c:tx>
            <c:v>UDL Live 1</c:v>
          </c:tx>
          <c:spPr>
            <a:ln w="12700">
              <a:solidFill>
                <a:srgbClr val="C00000"/>
              </a:solidFill>
            </a:ln>
          </c:spPr>
          <c:marker>
            <c:symbol val="none"/>
          </c:marker>
          <c:xVal>
            <c:numRef>
              <c:f>calculations!$C$10:$F$10</c:f>
              <c:numCache>
                <c:formatCode>General</c:formatCode>
                <c:ptCount val="4"/>
                <c:pt idx="0">
                  <c:v>0.1</c:v>
                </c:pt>
                <c:pt idx="1">
                  <c:v>0.1</c:v>
                </c:pt>
                <c:pt idx="2">
                  <c:v>8.1</c:v>
                </c:pt>
                <c:pt idx="3">
                  <c:v>8.1</c:v>
                </c:pt>
              </c:numCache>
            </c:numRef>
          </c:xVal>
          <c:yVal>
            <c:numRef>
              <c:f>calculations!$C$12:$F$12</c:f>
              <c:numCache>
                <c:formatCode>General</c:formatCode>
                <c:ptCount val="4"/>
                <c:pt idx="0">
                  <c:v>3.51</c:v>
                </c:pt>
                <c:pt idx="1">
                  <c:v>5.51</c:v>
                </c:pt>
                <c:pt idx="2">
                  <c:v>5.51</c:v>
                </c:pt>
                <c:pt idx="3">
                  <c:v>3.51</c:v>
                </c:pt>
              </c:numCache>
            </c:numRef>
          </c:yVal>
          <c:smooth val="0"/>
          <c:extLst>
            <c:ext xmlns:c16="http://schemas.microsoft.com/office/drawing/2014/chart" uri="{C3380CC4-5D6E-409C-BE32-E72D297353CC}">
              <c16:uniqueId val="{00000003-435D-4F56-9BC0-AAB5B60908B5}"/>
            </c:ext>
          </c:extLst>
        </c:ser>
        <c:ser>
          <c:idx val="22"/>
          <c:order val="4"/>
          <c:tx>
            <c:v>PU dead 1</c:v>
          </c:tx>
          <c:spPr>
            <a:ln w="12700">
              <a:solidFill>
                <a:srgbClr val="C0504D">
                  <a:lumMod val="50000"/>
                </a:srgbClr>
              </a:solidFill>
            </a:ln>
          </c:spPr>
          <c:marker>
            <c:symbol val="none"/>
          </c:marker>
          <c:xVal>
            <c:numRef>
              <c:f>calculations!$C$14:$F$14</c:f>
              <c:numCache>
                <c:formatCode>General</c:formatCode>
                <c:ptCount val="4"/>
                <c:pt idx="0">
                  <c:v>1.1000000000000001</c:v>
                </c:pt>
                <c:pt idx="1">
                  <c:v>1.1000000000000001</c:v>
                </c:pt>
                <c:pt idx="2">
                  <c:v>4.0999999999999996</c:v>
                </c:pt>
                <c:pt idx="3">
                  <c:v>4.0999999999999996</c:v>
                </c:pt>
              </c:numCache>
            </c:numRef>
          </c:xVal>
          <c:yVal>
            <c:numRef>
              <c:f>calculations!$C$15:$F$15</c:f>
              <c:numCache>
                <c:formatCode>General</c:formatCode>
                <c:ptCount val="4"/>
                <c:pt idx="0">
                  <c:v>5.51</c:v>
                </c:pt>
                <c:pt idx="1">
                  <c:v>7.51</c:v>
                </c:pt>
                <c:pt idx="2">
                  <c:v>7.51</c:v>
                </c:pt>
                <c:pt idx="3">
                  <c:v>5.51</c:v>
                </c:pt>
              </c:numCache>
            </c:numRef>
          </c:yVal>
          <c:smooth val="0"/>
          <c:extLst>
            <c:ext xmlns:c16="http://schemas.microsoft.com/office/drawing/2014/chart" uri="{C3380CC4-5D6E-409C-BE32-E72D297353CC}">
              <c16:uniqueId val="{00000004-435D-4F56-9BC0-AAB5B60908B5}"/>
            </c:ext>
          </c:extLst>
        </c:ser>
        <c:ser>
          <c:idx val="17"/>
          <c:order val="5"/>
          <c:tx>
            <c:v>PU live 1</c:v>
          </c:tx>
          <c:spPr>
            <a:ln w="12700">
              <a:solidFill>
                <a:srgbClr val="4BACC6"/>
              </a:solidFill>
            </a:ln>
          </c:spPr>
          <c:marker>
            <c:symbol val="none"/>
          </c:marker>
          <c:xVal>
            <c:numRef>
              <c:f>calculations!$C$14:$F$14</c:f>
              <c:numCache>
                <c:formatCode>General</c:formatCode>
                <c:ptCount val="4"/>
                <c:pt idx="0">
                  <c:v>1.1000000000000001</c:v>
                </c:pt>
                <c:pt idx="1">
                  <c:v>1.1000000000000001</c:v>
                </c:pt>
                <c:pt idx="2">
                  <c:v>4.0999999999999996</c:v>
                </c:pt>
                <c:pt idx="3">
                  <c:v>4.0999999999999996</c:v>
                </c:pt>
              </c:numCache>
            </c:numRef>
          </c:xVal>
          <c:yVal>
            <c:numRef>
              <c:f>calculations!$C$16:$F$16</c:f>
              <c:numCache>
                <c:formatCode>General</c:formatCode>
                <c:ptCount val="4"/>
                <c:pt idx="0">
                  <c:v>7.51</c:v>
                </c:pt>
                <c:pt idx="1">
                  <c:v>8.51</c:v>
                </c:pt>
                <c:pt idx="2">
                  <c:v>8.51</c:v>
                </c:pt>
                <c:pt idx="3">
                  <c:v>7.51</c:v>
                </c:pt>
              </c:numCache>
            </c:numRef>
          </c:yVal>
          <c:smooth val="0"/>
          <c:extLst>
            <c:ext xmlns:c16="http://schemas.microsoft.com/office/drawing/2014/chart" uri="{C3380CC4-5D6E-409C-BE32-E72D297353CC}">
              <c16:uniqueId val="{00000005-435D-4F56-9BC0-AAB5B60908B5}"/>
            </c:ext>
          </c:extLst>
        </c:ser>
        <c:ser>
          <c:idx val="4"/>
          <c:order val="6"/>
          <c:tx>
            <c:v>PU dead 2</c:v>
          </c:tx>
          <c:spPr>
            <a:ln w="12700">
              <a:solidFill>
                <a:srgbClr val="1F497D">
                  <a:lumMod val="75000"/>
                </a:srgbClr>
              </a:solidFill>
            </a:ln>
          </c:spPr>
          <c:marker>
            <c:symbol val="none"/>
          </c:marker>
          <c:xVal>
            <c:numRef>
              <c:f>calculations!$C$18:$F$18</c:f>
              <c:numCache>
                <c:formatCode>General</c:formatCode>
                <c:ptCount val="4"/>
                <c:pt idx="0">
                  <c:v>0</c:v>
                </c:pt>
                <c:pt idx="1">
                  <c:v>0</c:v>
                </c:pt>
                <c:pt idx="2">
                  <c:v>0</c:v>
                </c:pt>
                <c:pt idx="3">
                  <c:v>0</c:v>
                </c:pt>
              </c:numCache>
            </c:numRef>
          </c:xVal>
          <c:yVal>
            <c:numRef>
              <c:f>calculations!$C$19:$F$19</c:f>
              <c:numCache>
                <c:formatCode>General</c:formatCode>
                <c:ptCount val="4"/>
                <c:pt idx="0">
                  <c:v>5.51</c:v>
                </c:pt>
                <c:pt idx="1">
                  <c:v>5.51</c:v>
                </c:pt>
                <c:pt idx="2">
                  <c:v>5.51</c:v>
                </c:pt>
                <c:pt idx="3">
                  <c:v>5.51</c:v>
                </c:pt>
              </c:numCache>
            </c:numRef>
          </c:yVal>
          <c:smooth val="0"/>
          <c:extLst>
            <c:ext xmlns:c16="http://schemas.microsoft.com/office/drawing/2014/chart" uri="{C3380CC4-5D6E-409C-BE32-E72D297353CC}">
              <c16:uniqueId val="{00000006-435D-4F56-9BC0-AAB5B60908B5}"/>
            </c:ext>
          </c:extLst>
        </c:ser>
        <c:ser>
          <c:idx val="5"/>
          <c:order val="7"/>
          <c:tx>
            <c:v>PU live 2</c:v>
          </c:tx>
          <c:spPr>
            <a:ln w="12700">
              <a:solidFill>
                <a:sysClr val="windowText" lastClr="000000">
                  <a:lumMod val="65000"/>
                  <a:lumOff val="35000"/>
                </a:sysClr>
              </a:solidFill>
            </a:ln>
          </c:spPr>
          <c:marker>
            <c:symbol val="none"/>
          </c:marker>
          <c:xVal>
            <c:numRef>
              <c:f>calculations!$C$18:$F$18</c:f>
              <c:numCache>
                <c:formatCode>General</c:formatCode>
                <c:ptCount val="4"/>
                <c:pt idx="0">
                  <c:v>0</c:v>
                </c:pt>
                <c:pt idx="1">
                  <c:v>0</c:v>
                </c:pt>
                <c:pt idx="2">
                  <c:v>0</c:v>
                </c:pt>
                <c:pt idx="3">
                  <c:v>0</c:v>
                </c:pt>
              </c:numCache>
            </c:numRef>
          </c:xVal>
          <c:yVal>
            <c:numRef>
              <c:f>calculations!$C$20:$F$20</c:f>
              <c:numCache>
                <c:formatCode>General</c:formatCode>
                <c:ptCount val="4"/>
                <c:pt idx="0">
                  <c:v>5.51</c:v>
                </c:pt>
                <c:pt idx="1">
                  <c:v>5.51</c:v>
                </c:pt>
                <c:pt idx="2">
                  <c:v>5.51</c:v>
                </c:pt>
                <c:pt idx="3">
                  <c:v>5.51</c:v>
                </c:pt>
              </c:numCache>
            </c:numRef>
          </c:yVal>
          <c:smooth val="0"/>
          <c:extLst>
            <c:ext xmlns:c16="http://schemas.microsoft.com/office/drawing/2014/chart" uri="{C3380CC4-5D6E-409C-BE32-E72D297353CC}">
              <c16:uniqueId val="{00000007-435D-4F56-9BC0-AAB5B60908B5}"/>
            </c:ext>
          </c:extLst>
        </c:ser>
        <c:ser>
          <c:idx val="27"/>
          <c:order val="8"/>
          <c:tx>
            <c:v>PL a dead 1</c:v>
          </c:tx>
          <c:spPr>
            <a:ln w="25400">
              <a:solidFill>
                <a:schemeClr val="accent1">
                  <a:lumMod val="75000"/>
                </a:schemeClr>
              </a:solidFill>
            </a:ln>
          </c:spPr>
          <c:marker>
            <c:symbol val="none"/>
          </c:marker>
          <c:xVal>
            <c:numRef>
              <c:f>calculations!$C$22:$D$22</c:f>
              <c:numCache>
                <c:formatCode>General</c:formatCode>
                <c:ptCount val="2"/>
                <c:pt idx="0">
                  <c:v>3.1</c:v>
                </c:pt>
                <c:pt idx="1">
                  <c:v>3.1</c:v>
                </c:pt>
              </c:numCache>
            </c:numRef>
          </c:xVal>
          <c:yVal>
            <c:numRef>
              <c:f>calculations!$C$23:$D$23</c:f>
              <c:numCache>
                <c:formatCode>General</c:formatCode>
                <c:ptCount val="2"/>
                <c:pt idx="0">
                  <c:v>5.51</c:v>
                </c:pt>
                <c:pt idx="1">
                  <c:v>7.51</c:v>
                </c:pt>
              </c:numCache>
            </c:numRef>
          </c:yVal>
          <c:smooth val="0"/>
          <c:extLst>
            <c:ext xmlns:c16="http://schemas.microsoft.com/office/drawing/2014/chart" uri="{C3380CC4-5D6E-409C-BE32-E72D297353CC}">
              <c16:uniqueId val="{00000008-435D-4F56-9BC0-AAB5B60908B5}"/>
            </c:ext>
          </c:extLst>
        </c:ser>
        <c:ser>
          <c:idx val="39"/>
          <c:order val="9"/>
          <c:tx>
            <c:v>PL b dead 1</c:v>
          </c:tx>
          <c:spPr>
            <a:ln w="25400">
              <a:solidFill>
                <a:schemeClr val="accent1">
                  <a:lumMod val="75000"/>
                </a:schemeClr>
              </a:solidFill>
            </a:ln>
          </c:spPr>
          <c:marker>
            <c:symbol val="none"/>
          </c:marker>
          <c:xVal>
            <c:numRef>
              <c:f>calculations!$C$26:$D$26</c:f>
              <c:numCache>
                <c:formatCode>General</c:formatCode>
                <c:ptCount val="2"/>
                <c:pt idx="0">
                  <c:v>0</c:v>
                </c:pt>
                <c:pt idx="1">
                  <c:v>0</c:v>
                </c:pt>
              </c:numCache>
            </c:numRef>
          </c:xVal>
          <c:yVal>
            <c:numRef>
              <c:f>calculations!$C$27:$D$27</c:f>
              <c:numCache>
                <c:formatCode>General</c:formatCode>
                <c:ptCount val="2"/>
                <c:pt idx="0">
                  <c:v>0</c:v>
                </c:pt>
                <c:pt idx="1">
                  <c:v>0</c:v>
                </c:pt>
              </c:numCache>
            </c:numRef>
          </c:yVal>
          <c:smooth val="0"/>
          <c:extLst>
            <c:ext xmlns:c16="http://schemas.microsoft.com/office/drawing/2014/chart" uri="{C3380CC4-5D6E-409C-BE32-E72D297353CC}">
              <c16:uniqueId val="{00000009-435D-4F56-9BC0-AAB5B60908B5}"/>
            </c:ext>
          </c:extLst>
        </c:ser>
        <c:ser>
          <c:idx val="42"/>
          <c:order val="10"/>
          <c:tx>
            <c:v>PL 1 live 1</c:v>
          </c:tx>
          <c:spPr>
            <a:ln w="19050">
              <a:solidFill>
                <a:srgbClr val="9BBB59"/>
              </a:solidFill>
            </a:ln>
          </c:spPr>
          <c:marker>
            <c:symbol val="none"/>
          </c:marker>
          <c:xVal>
            <c:numRef>
              <c:f>calculations!$C$22:$D$22</c:f>
              <c:numCache>
                <c:formatCode>General</c:formatCode>
                <c:ptCount val="2"/>
                <c:pt idx="0">
                  <c:v>3.1</c:v>
                </c:pt>
                <c:pt idx="1">
                  <c:v>3.1</c:v>
                </c:pt>
              </c:numCache>
            </c:numRef>
          </c:xVal>
          <c:yVal>
            <c:numRef>
              <c:f>calculations!$C$24:$D$24</c:f>
              <c:numCache>
                <c:formatCode>General</c:formatCode>
                <c:ptCount val="2"/>
                <c:pt idx="0">
                  <c:v>7.51</c:v>
                </c:pt>
                <c:pt idx="1">
                  <c:v>9.51</c:v>
                </c:pt>
              </c:numCache>
            </c:numRef>
          </c:yVal>
          <c:smooth val="0"/>
          <c:extLst>
            <c:ext xmlns:c16="http://schemas.microsoft.com/office/drawing/2014/chart" uri="{C3380CC4-5D6E-409C-BE32-E72D297353CC}">
              <c16:uniqueId val="{0000000A-435D-4F56-9BC0-AAB5B60908B5}"/>
            </c:ext>
          </c:extLst>
        </c:ser>
        <c:ser>
          <c:idx val="43"/>
          <c:order val="11"/>
          <c:tx>
            <c:v>PL b live 2</c:v>
          </c:tx>
          <c:spPr>
            <a:ln w="19050">
              <a:solidFill>
                <a:srgbClr val="9BBB59"/>
              </a:solidFill>
            </a:ln>
          </c:spPr>
          <c:marker>
            <c:symbol val="none"/>
          </c:marker>
          <c:xVal>
            <c:numRef>
              <c:f>calculations!$C$26:$D$26</c:f>
              <c:numCache>
                <c:formatCode>General</c:formatCode>
                <c:ptCount val="2"/>
                <c:pt idx="0">
                  <c:v>0</c:v>
                </c:pt>
                <c:pt idx="1">
                  <c:v>0</c:v>
                </c:pt>
              </c:numCache>
            </c:numRef>
          </c:xVal>
          <c:yVal>
            <c:numRef>
              <c:f>calculations!$C$28:$D$28</c:f>
              <c:numCache>
                <c:formatCode>General</c:formatCode>
                <c:ptCount val="2"/>
                <c:pt idx="0">
                  <c:v>0</c:v>
                </c:pt>
                <c:pt idx="1">
                  <c:v>0</c:v>
                </c:pt>
              </c:numCache>
            </c:numRef>
          </c:yVal>
          <c:smooth val="0"/>
          <c:extLst>
            <c:ext xmlns:c16="http://schemas.microsoft.com/office/drawing/2014/chart" uri="{C3380CC4-5D6E-409C-BE32-E72D297353CC}">
              <c16:uniqueId val="{0000000B-435D-4F56-9BC0-AAB5B60908B5}"/>
            </c:ext>
          </c:extLst>
        </c:ser>
        <c:ser>
          <c:idx val="2"/>
          <c:order val="12"/>
          <c:tx>
            <c:v>Support 2</c:v>
          </c:tx>
          <c:spPr>
            <a:ln>
              <a:solidFill>
                <a:sysClr val="windowText" lastClr="000000"/>
              </a:solidFill>
            </a:ln>
          </c:spPr>
          <c:marker>
            <c:symbol val="none"/>
          </c:marker>
          <c:xVal>
            <c:numRef>
              <c:f>calculations!$E$7:$F$7</c:f>
              <c:numCache>
                <c:formatCode>General</c:formatCode>
                <c:ptCount val="2"/>
                <c:pt idx="0">
                  <c:v>8.1</c:v>
                </c:pt>
                <c:pt idx="1">
                  <c:v>8.1</c:v>
                </c:pt>
              </c:numCache>
            </c:numRef>
          </c:xVal>
          <c:yVal>
            <c:numRef>
              <c:f>calculations!$E$8:$F$8</c:f>
              <c:numCache>
                <c:formatCode>General</c:formatCode>
                <c:ptCount val="2"/>
                <c:pt idx="0">
                  <c:v>-1.9020000000000001</c:v>
                </c:pt>
                <c:pt idx="1">
                  <c:v>0</c:v>
                </c:pt>
              </c:numCache>
            </c:numRef>
          </c:yVal>
          <c:smooth val="0"/>
          <c:extLst>
            <c:ext xmlns:c16="http://schemas.microsoft.com/office/drawing/2014/chart" uri="{C3380CC4-5D6E-409C-BE32-E72D297353CC}">
              <c16:uniqueId val="{0000000C-435D-4F56-9BC0-AAB5B60908B5}"/>
            </c:ext>
          </c:extLst>
        </c:ser>
        <c:dLbls>
          <c:showLegendKey val="0"/>
          <c:showVal val="0"/>
          <c:showCatName val="0"/>
          <c:showSerName val="0"/>
          <c:showPercent val="0"/>
          <c:showBubbleSize val="0"/>
        </c:dLbls>
        <c:axId val="337070616"/>
        <c:axId val="1"/>
      </c:scatterChart>
      <c:valAx>
        <c:axId val="337070616"/>
        <c:scaling>
          <c:orientation val="minMax"/>
        </c:scaling>
        <c:delete val="1"/>
        <c:axPos val="b"/>
        <c:numFmt formatCode="General" sourceLinked="1"/>
        <c:majorTickMark val="out"/>
        <c:minorTickMark val="none"/>
        <c:tickLblPos val="nextTo"/>
        <c:crossAx val="1"/>
        <c:crosses val="autoZero"/>
        <c:crossBetween val="midCat"/>
      </c:valAx>
      <c:valAx>
        <c:axId val="1"/>
        <c:scaling>
          <c:orientation val="minMax"/>
        </c:scaling>
        <c:delete val="1"/>
        <c:axPos val="l"/>
        <c:numFmt formatCode="General" sourceLinked="1"/>
        <c:majorTickMark val="out"/>
        <c:minorTickMark val="none"/>
        <c:tickLblPos val="nextTo"/>
        <c:crossAx val="337070616"/>
        <c:crosses val="autoZero"/>
        <c:crossBetween val="midCat"/>
      </c:valAx>
      <c:spPr>
        <a:noFill/>
        <a:ln w="25400">
          <a:noFill/>
        </a:ln>
      </c:spPr>
    </c:plotArea>
    <c:plotVisOnly val="1"/>
    <c:dispBlanksAs val="gap"/>
    <c:showDLblsOverMax val="0"/>
  </c:chart>
  <c:spPr>
    <a:solidFill>
      <a:srgbClr val="FFFFCC"/>
    </a:solidFill>
    <a:ln w="12700">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9082776633361"/>
          <c:y val="0.11491179881584569"/>
          <c:w val="0.81337451082087819"/>
          <c:h val="0.80610502118607741"/>
        </c:manualLayout>
      </c:layout>
      <c:lineChart>
        <c:grouping val="standard"/>
        <c:varyColors val="0"/>
        <c:ser>
          <c:idx val="0"/>
          <c:order val="0"/>
          <c:tx>
            <c:v>moment</c:v>
          </c:tx>
          <c:spPr>
            <a:ln w="19050">
              <a:solidFill>
                <a:schemeClr val="tx1"/>
              </a:solidFill>
              <a:prstDash val="solid"/>
            </a:ln>
          </c:spPr>
          <c:marker>
            <c:symbol val="none"/>
          </c:marker>
          <c:cat>
            <c:numRef>
              <c:f>calculations!$C$79:$CY$79</c:f>
              <c:numCache>
                <c:formatCode>0.0</c:formatCode>
                <c:ptCount val="101"/>
                <c:pt idx="0">
                  <c:v>0</c:v>
                </c:pt>
                <c:pt idx="1">
                  <c:v>0.08</c:v>
                </c:pt>
                <c:pt idx="2">
                  <c:v>0.16</c:v>
                </c:pt>
                <c:pt idx="3">
                  <c:v>0.24</c:v>
                </c:pt>
                <c:pt idx="4">
                  <c:v>0.32</c:v>
                </c:pt>
                <c:pt idx="5">
                  <c:v>0.4</c:v>
                </c:pt>
                <c:pt idx="6">
                  <c:v>0.48000000000000004</c:v>
                </c:pt>
                <c:pt idx="7">
                  <c:v>0.56000000000000005</c:v>
                </c:pt>
                <c:pt idx="8">
                  <c:v>0.64</c:v>
                </c:pt>
                <c:pt idx="9">
                  <c:v>0.72</c:v>
                </c:pt>
                <c:pt idx="10">
                  <c:v>0.79999999999999993</c:v>
                </c:pt>
                <c:pt idx="11">
                  <c:v>0.87999999999999989</c:v>
                </c:pt>
                <c:pt idx="12">
                  <c:v>0.95999999999999985</c:v>
                </c:pt>
                <c:pt idx="13">
                  <c:v>1.0399999999999998</c:v>
                </c:pt>
                <c:pt idx="14">
                  <c:v>1.1199999999999999</c:v>
                </c:pt>
                <c:pt idx="15">
                  <c:v>1.2</c:v>
                </c:pt>
                <c:pt idx="16">
                  <c:v>1.28</c:v>
                </c:pt>
                <c:pt idx="17">
                  <c:v>1.36</c:v>
                </c:pt>
                <c:pt idx="18">
                  <c:v>1.4400000000000002</c:v>
                </c:pt>
                <c:pt idx="19">
                  <c:v>1.5200000000000002</c:v>
                </c:pt>
                <c:pt idx="20">
                  <c:v>1.6000000000000003</c:v>
                </c:pt>
                <c:pt idx="21">
                  <c:v>1.6800000000000004</c:v>
                </c:pt>
                <c:pt idx="22">
                  <c:v>1.7600000000000005</c:v>
                </c:pt>
                <c:pt idx="23">
                  <c:v>1.8400000000000005</c:v>
                </c:pt>
                <c:pt idx="24">
                  <c:v>1.9200000000000006</c:v>
                </c:pt>
                <c:pt idx="25">
                  <c:v>2.0000000000000004</c:v>
                </c:pt>
                <c:pt idx="26">
                  <c:v>2.0800000000000005</c:v>
                </c:pt>
                <c:pt idx="27">
                  <c:v>2.1600000000000006</c:v>
                </c:pt>
                <c:pt idx="28">
                  <c:v>2.2400000000000007</c:v>
                </c:pt>
                <c:pt idx="29">
                  <c:v>2.3200000000000007</c:v>
                </c:pt>
                <c:pt idx="30">
                  <c:v>2.4000000000000008</c:v>
                </c:pt>
                <c:pt idx="31">
                  <c:v>2.4800000000000009</c:v>
                </c:pt>
                <c:pt idx="32">
                  <c:v>2.5600000000000009</c:v>
                </c:pt>
                <c:pt idx="33">
                  <c:v>2.640000000000001</c:v>
                </c:pt>
                <c:pt idx="34">
                  <c:v>2.7200000000000011</c:v>
                </c:pt>
                <c:pt idx="35">
                  <c:v>2.8000000000000012</c:v>
                </c:pt>
                <c:pt idx="36">
                  <c:v>2.8800000000000012</c:v>
                </c:pt>
                <c:pt idx="37">
                  <c:v>2.9600000000000013</c:v>
                </c:pt>
                <c:pt idx="38">
                  <c:v>3.0400000000000014</c:v>
                </c:pt>
                <c:pt idx="39">
                  <c:v>3.1200000000000014</c:v>
                </c:pt>
                <c:pt idx="40">
                  <c:v>3.2000000000000015</c:v>
                </c:pt>
                <c:pt idx="41">
                  <c:v>3.2800000000000016</c:v>
                </c:pt>
                <c:pt idx="42">
                  <c:v>3.3600000000000017</c:v>
                </c:pt>
                <c:pt idx="43">
                  <c:v>3.4400000000000017</c:v>
                </c:pt>
                <c:pt idx="44">
                  <c:v>3.5200000000000018</c:v>
                </c:pt>
                <c:pt idx="45">
                  <c:v>3.6000000000000019</c:v>
                </c:pt>
                <c:pt idx="46">
                  <c:v>3.6800000000000019</c:v>
                </c:pt>
                <c:pt idx="47">
                  <c:v>3.760000000000002</c:v>
                </c:pt>
                <c:pt idx="48">
                  <c:v>3.8400000000000021</c:v>
                </c:pt>
                <c:pt idx="49">
                  <c:v>3.9200000000000021</c:v>
                </c:pt>
                <c:pt idx="50">
                  <c:v>4.0000000000000018</c:v>
                </c:pt>
                <c:pt idx="51">
                  <c:v>4.0800000000000018</c:v>
                </c:pt>
                <c:pt idx="52">
                  <c:v>4.1600000000000019</c:v>
                </c:pt>
                <c:pt idx="53">
                  <c:v>4.240000000000002</c:v>
                </c:pt>
                <c:pt idx="54">
                  <c:v>4.3200000000000021</c:v>
                </c:pt>
                <c:pt idx="55">
                  <c:v>4.4000000000000021</c:v>
                </c:pt>
                <c:pt idx="56">
                  <c:v>4.4800000000000022</c:v>
                </c:pt>
                <c:pt idx="57">
                  <c:v>4.5600000000000023</c:v>
                </c:pt>
                <c:pt idx="58">
                  <c:v>4.6400000000000023</c:v>
                </c:pt>
                <c:pt idx="59">
                  <c:v>4.7200000000000024</c:v>
                </c:pt>
                <c:pt idx="60">
                  <c:v>4.8000000000000025</c:v>
                </c:pt>
                <c:pt idx="61">
                  <c:v>4.8800000000000026</c:v>
                </c:pt>
                <c:pt idx="62">
                  <c:v>4.9600000000000026</c:v>
                </c:pt>
                <c:pt idx="63">
                  <c:v>5.0400000000000027</c:v>
                </c:pt>
                <c:pt idx="64">
                  <c:v>5.1200000000000028</c:v>
                </c:pt>
                <c:pt idx="65">
                  <c:v>5.2000000000000028</c:v>
                </c:pt>
                <c:pt idx="66">
                  <c:v>5.2800000000000029</c:v>
                </c:pt>
                <c:pt idx="67">
                  <c:v>5.360000000000003</c:v>
                </c:pt>
                <c:pt idx="68">
                  <c:v>5.4400000000000031</c:v>
                </c:pt>
                <c:pt idx="69">
                  <c:v>5.5200000000000031</c:v>
                </c:pt>
                <c:pt idx="70">
                  <c:v>5.6000000000000032</c:v>
                </c:pt>
                <c:pt idx="71">
                  <c:v>5.6800000000000033</c:v>
                </c:pt>
                <c:pt idx="72">
                  <c:v>5.7600000000000033</c:v>
                </c:pt>
                <c:pt idx="73">
                  <c:v>5.8400000000000034</c:v>
                </c:pt>
                <c:pt idx="74">
                  <c:v>5.9200000000000035</c:v>
                </c:pt>
                <c:pt idx="75">
                  <c:v>6.0000000000000036</c:v>
                </c:pt>
                <c:pt idx="76">
                  <c:v>6.0800000000000036</c:v>
                </c:pt>
                <c:pt idx="77">
                  <c:v>6.1600000000000037</c:v>
                </c:pt>
                <c:pt idx="78">
                  <c:v>6.2400000000000038</c:v>
                </c:pt>
                <c:pt idx="79">
                  <c:v>6.3200000000000038</c:v>
                </c:pt>
                <c:pt idx="80">
                  <c:v>6.4000000000000039</c:v>
                </c:pt>
                <c:pt idx="81">
                  <c:v>6.480000000000004</c:v>
                </c:pt>
                <c:pt idx="82">
                  <c:v>6.5600000000000041</c:v>
                </c:pt>
                <c:pt idx="83">
                  <c:v>6.6400000000000041</c:v>
                </c:pt>
                <c:pt idx="84">
                  <c:v>6.7200000000000042</c:v>
                </c:pt>
                <c:pt idx="85">
                  <c:v>6.8000000000000043</c:v>
                </c:pt>
                <c:pt idx="86">
                  <c:v>6.8800000000000043</c:v>
                </c:pt>
                <c:pt idx="87">
                  <c:v>6.9600000000000044</c:v>
                </c:pt>
                <c:pt idx="88">
                  <c:v>7.0400000000000045</c:v>
                </c:pt>
                <c:pt idx="89">
                  <c:v>7.1200000000000045</c:v>
                </c:pt>
                <c:pt idx="90">
                  <c:v>7.2000000000000046</c:v>
                </c:pt>
                <c:pt idx="91">
                  <c:v>7.2800000000000047</c:v>
                </c:pt>
                <c:pt idx="92">
                  <c:v>7.3600000000000048</c:v>
                </c:pt>
                <c:pt idx="93">
                  <c:v>7.4400000000000048</c:v>
                </c:pt>
                <c:pt idx="94">
                  <c:v>7.5200000000000049</c:v>
                </c:pt>
                <c:pt idx="95">
                  <c:v>7.600000000000005</c:v>
                </c:pt>
                <c:pt idx="96">
                  <c:v>7.680000000000005</c:v>
                </c:pt>
                <c:pt idx="97">
                  <c:v>7.7600000000000051</c:v>
                </c:pt>
                <c:pt idx="98">
                  <c:v>7.8400000000000052</c:v>
                </c:pt>
                <c:pt idx="99">
                  <c:v>7.9200000000000053</c:v>
                </c:pt>
                <c:pt idx="100">
                  <c:v>8.0000000000000053</c:v>
                </c:pt>
              </c:numCache>
            </c:numRef>
          </c:cat>
          <c:val>
            <c:numRef>
              <c:f>calculations!$C$81:$CY$81</c:f>
              <c:numCache>
                <c:formatCode>0.00</c:formatCode>
                <c:ptCount val="101"/>
                <c:pt idx="0">
                  <c:v>0</c:v>
                </c:pt>
                <c:pt idx="1">
                  <c:v>-3.5965151999999998</c:v>
                </c:pt>
                <c:pt idx="2">
                  <c:v>-7.1411008000000002</c:v>
                </c:pt>
                <c:pt idx="3">
                  <c:v>-10.6337568</c:v>
                </c:pt>
                <c:pt idx="4">
                  <c:v>-14.0744832</c:v>
                </c:pt>
                <c:pt idx="5">
                  <c:v>-17.463280000000001</c:v>
                </c:pt>
                <c:pt idx="6">
                  <c:v>-20.800147200000001</c:v>
                </c:pt>
                <c:pt idx="7">
                  <c:v>-24.085084800000001</c:v>
                </c:pt>
                <c:pt idx="8">
                  <c:v>-27.318092799999999</c:v>
                </c:pt>
                <c:pt idx="9">
                  <c:v>-30.499171199999999</c:v>
                </c:pt>
                <c:pt idx="10">
                  <c:v>-33.628319999999995</c:v>
                </c:pt>
                <c:pt idx="11">
                  <c:v>-36.70553919999999</c:v>
                </c:pt>
                <c:pt idx="12">
                  <c:v>-39.730828799999991</c:v>
                </c:pt>
                <c:pt idx="13">
                  <c:v>-42.700668799999988</c:v>
                </c:pt>
                <c:pt idx="14">
                  <c:v>-45.593939199999994</c:v>
                </c:pt>
                <c:pt idx="15">
                  <c:v>-48.407119999999992</c:v>
                </c:pt>
                <c:pt idx="16">
                  <c:v>-51.140211199999996</c:v>
                </c:pt>
                <c:pt idx="17">
                  <c:v>-53.793212799999992</c:v>
                </c:pt>
                <c:pt idx="18">
                  <c:v>-56.366124800000009</c:v>
                </c:pt>
                <c:pt idx="19">
                  <c:v>-58.858947200000003</c:v>
                </c:pt>
                <c:pt idx="20">
                  <c:v>-61.271680000000011</c:v>
                </c:pt>
                <c:pt idx="21">
                  <c:v>-63.604323200000003</c:v>
                </c:pt>
                <c:pt idx="22">
                  <c:v>-65.856876800000009</c:v>
                </c:pt>
                <c:pt idx="23">
                  <c:v>-68.0293408</c:v>
                </c:pt>
                <c:pt idx="24">
                  <c:v>-70.121715200000011</c:v>
                </c:pt>
                <c:pt idx="25">
                  <c:v>-72.134</c:v>
                </c:pt>
                <c:pt idx="26">
                  <c:v>-74.06619520000001</c:v>
                </c:pt>
                <c:pt idx="27">
                  <c:v>-75.918300799999997</c:v>
                </c:pt>
                <c:pt idx="28">
                  <c:v>-77.690316800000005</c:v>
                </c:pt>
                <c:pt idx="29">
                  <c:v>-79.382243200000005</c:v>
                </c:pt>
                <c:pt idx="30">
                  <c:v>-80.994079999999997</c:v>
                </c:pt>
                <c:pt idx="31">
                  <c:v>-82.525827200000009</c:v>
                </c:pt>
                <c:pt idx="32">
                  <c:v>-83.977484800000013</c:v>
                </c:pt>
                <c:pt idx="33">
                  <c:v>-85.34905280000001</c:v>
                </c:pt>
                <c:pt idx="34">
                  <c:v>-86.640531200000027</c:v>
                </c:pt>
                <c:pt idx="35">
                  <c:v>-87.851920000000021</c:v>
                </c:pt>
                <c:pt idx="36">
                  <c:v>-88.983219200000008</c:v>
                </c:pt>
                <c:pt idx="37">
                  <c:v>-90.034428800000001</c:v>
                </c:pt>
                <c:pt idx="38">
                  <c:v>-90.765548799999991</c:v>
                </c:pt>
                <c:pt idx="39">
                  <c:v>-91.176579200000006</c:v>
                </c:pt>
                <c:pt idx="40">
                  <c:v>-91.507520000000028</c:v>
                </c:pt>
                <c:pt idx="41">
                  <c:v>-91.758371199999999</c:v>
                </c:pt>
                <c:pt idx="42">
                  <c:v>-91.929132799999991</c:v>
                </c:pt>
                <c:pt idx="43">
                  <c:v>-92.019804800000003</c:v>
                </c:pt>
                <c:pt idx="44">
                  <c:v>-92.030387200000007</c:v>
                </c:pt>
                <c:pt idx="45">
                  <c:v>-91.960879999999975</c:v>
                </c:pt>
                <c:pt idx="46">
                  <c:v>-91.811283199999991</c:v>
                </c:pt>
                <c:pt idx="47">
                  <c:v>-91.5815968</c:v>
                </c:pt>
                <c:pt idx="48">
                  <c:v>-91.271820799999986</c:v>
                </c:pt>
                <c:pt idx="49">
                  <c:v>-90.881955199999993</c:v>
                </c:pt>
                <c:pt idx="50">
                  <c:v>-90.411999999999978</c:v>
                </c:pt>
                <c:pt idx="51">
                  <c:v>-89.87603519999999</c:v>
                </c:pt>
                <c:pt idx="52">
                  <c:v>-89.288140799999979</c:v>
                </c:pt>
                <c:pt idx="53">
                  <c:v>-88.648316799999989</c:v>
                </c:pt>
                <c:pt idx="54">
                  <c:v>-87.956563200000005</c:v>
                </c:pt>
                <c:pt idx="55">
                  <c:v>-87.212879999999998</c:v>
                </c:pt>
                <c:pt idx="56">
                  <c:v>-86.417267199999984</c:v>
                </c:pt>
                <c:pt idx="57">
                  <c:v>-85.56972479999996</c:v>
                </c:pt>
                <c:pt idx="58">
                  <c:v>-84.670252799999957</c:v>
                </c:pt>
                <c:pt idx="59">
                  <c:v>-83.71885119999996</c:v>
                </c:pt>
                <c:pt idx="60">
                  <c:v>-82.71551999999997</c:v>
                </c:pt>
                <c:pt idx="61">
                  <c:v>-81.660259199999956</c:v>
                </c:pt>
                <c:pt idx="62">
                  <c:v>-80.553068799999949</c:v>
                </c:pt>
                <c:pt idx="63">
                  <c:v>-79.393948799999961</c:v>
                </c:pt>
                <c:pt idx="64">
                  <c:v>-78.182899199999937</c:v>
                </c:pt>
                <c:pt idx="65">
                  <c:v>-76.919919999999948</c:v>
                </c:pt>
                <c:pt idx="66">
                  <c:v>-75.60501119999995</c:v>
                </c:pt>
                <c:pt idx="67">
                  <c:v>-74.23817279999993</c:v>
                </c:pt>
                <c:pt idx="68">
                  <c:v>-72.81940479999993</c:v>
                </c:pt>
                <c:pt idx="69">
                  <c:v>-71.348707199999936</c:v>
                </c:pt>
                <c:pt idx="70">
                  <c:v>-69.826079999999962</c:v>
                </c:pt>
                <c:pt idx="71">
                  <c:v>-68.251523199999951</c:v>
                </c:pt>
                <c:pt idx="72">
                  <c:v>-66.625036799999918</c:v>
                </c:pt>
                <c:pt idx="73">
                  <c:v>-64.94662079999992</c:v>
                </c:pt>
                <c:pt idx="74">
                  <c:v>-63.216275199999934</c:v>
                </c:pt>
                <c:pt idx="75">
                  <c:v>-61.433999999999926</c:v>
                </c:pt>
                <c:pt idx="76">
                  <c:v>-59.599795199999932</c:v>
                </c:pt>
                <c:pt idx="77">
                  <c:v>-57.713660799999893</c:v>
                </c:pt>
                <c:pt idx="78">
                  <c:v>-55.775596799999896</c:v>
                </c:pt>
                <c:pt idx="79">
                  <c:v>-53.785603199999898</c:v>
                </c:pt>
                <c:pt idx="80">
                  <c:v>-51.743679999999905</c:v>
                </c:pt>
                <c:pt idx="81">
                  <c:v>-49.649827199999912</c:v>
                </c:pt>
                <c:pt idx="82">
                  <c:v>-47.504044799999917</c:v>
                </c:pt>
                <c:pt idx="83">
                  <c:v>-45.306332799999879</c:v>
                </c:pt>
                <c:pt idx="84">
                  <c:v>-43.056691199999896</c:v>
                </c:pt>
                <c:pt idx="85">
                  <c:v>-40.755119999999877</c:v>
                </c:pt>
                <c:pt idx="86">
                  <c:v>-38.401619199999878</c:v>
                </c:pt>
                <c:pt idx="87">
                  <c:v>-35.996188799999913</c:v>
                </c:pt>
                <c:pt idx="88">
                  <c:v>-33.538828799999877</c:v>
                </c:pt>
                <c:pt idx="89">
                  <c:v>-31.029539199999849</c:v>
                </c:pt>
                <c:pt idx="90">
                  <c:v>-28.468319999999849</c:v>
                </c:pt>
                <c:pt idx="91">
                  <c:v>-25.855171199999816</c:v>
                </c:pt>
                <c:pt idx="92">
                  <c:v>-23.190092799999839</c:v>
                </c:pt>
                <c:pt idx="93">
                  <c:v>-20.473084799999807</c:v>
                </c:pt>
                <c:pt idx="94">
                  <c:v>-17.704147199999809</c:v>
                </c:pt>
                <c:pt idx="95">
                  <c:v>-14.883279999999818</c:v>
                </c:pt>
                <c:pt idx="96">
                  <c:v>-12.010483199999811</c:v>
                </c:pt>
                <c:pt idx="97">
                  <c:v>-9.0857567999997801</c:v>
                </c:pt>
                <c:pt idx="98">
                  <c:v>-6.1091007999998084</c:v>
                </c:pt>
                <c:pt idx="99">
                  <c:v>-3.0805151999998115</c:v>
                </c:pt>
                <c:pt idx="100">
                  <c:v>1.9966250874858814E-13</c:v>
                </c:pt>
              </c:numCache>
            </c:numRef>
          </c:val>
          <c:smooth val="0"/>
          <c:extLst>
            <c:ext xmlns:c16="http://schemas.microsoft.com/office/drawing/2014/chart" uri="{C3380CC4-5D6E-409C-BE32-E72D297353CC}">
              <c16:uniqueId val="{00000000-9B25-4A95-8F3E-872C26207C84}"/>
            </c:ext>
          </c:extLst>
        </c:ser>
        <c:dLbls>
          <c:showLegendKey val="0"/>
          <c:showVal val="0"/>
          <c:showCatName val="0"/>
          <c:showSerName val="0"/>
          <c:showPercent val="0"/>
          <c:showBubbleSize val="0"/>
        </c:dLbls>
        <c:smooth val="0"/>
        <c:axId val="337073568"/>
        <c:axId val="1"/>
      </c:lineChart>
      <c:catAx>
        <c:axId val="337073568"/>
        <c:scaling>
          <c:orientation val="minMax"/>
        </c:scaling>
        <c:delete val="0"/>
        <c:axPos val="b"/>
        <c:numFmt formatCode="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60"/>
        <c:tickLblSkip val="25"/>
        <c:tickMarkSkip val="1"/>
        <c:noMultiLvlLbl val="0"/>
      </c:catAx>
      <c:valAx>
        <c:axId val="1"/>
        <c:scaling>
          <c:orientation val="minMax"/>
        </c:scaling>
        <c:delete val="0"/>
        <c:axPos val="l"/>
        <c:majorGridlines>
          <c:spPr>
            <a:ln w="3175">
              <a:solidFill>
                <a:srgbClr val="96969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37073568"/>
        <c:crosses val="autoZero"/>
        <c:crossBetween val="between"/>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3073588770113"/>
          <c:y val="0.10457583088127358"/>
          <c:w val="0.81337451082087842"/>
          <c:h val="0.80610502118607763"/>
        </c:manualLayout>
      </c:layout>
      <c:lineChart>
        <c:grouping val="standard"/>
        <c:varyColors val="0"/>
        <c:ser>
          <c:idx val="0"/>
          <c:order val="0"/>
          <c:tx>
            <c:v>shear</c:v>
          </c:tx>
          <c:spPr>
            <a:ln w="19050">
              <a:solidFill>
                <a:schemeClr val="tx1"/>
              </a:solidFill>
              <a:prstDash val="solid"/>
            </a:ln>
          </c:spPr>
          <c:marker>
            <c:symbol val="none"/>
          </c:marker>
          <c:cat>
            <c:numRef>
              <c:f>calculations!$C$79:$CY$79</c:f>
              <c:numCache>
                <c:formatCode>0.0</c:formatCode>
                <c:ptCount val="101"/>
                <c:pt idx="0">
                  <c:v>0</c:v>
                </c:pt>
                <c:pt idx="1">
                  <c:v>0.08</c:v>
                </c:pt>
                <c:pt idx="2">
                  <c:v>0.16</c:v>
                </c:pt>
                <c:pt idx="3">
                  <c:v>0.24</c:v>
                </c:pt>
                <c:pt idx="4">
                  <c:v>0.32</c:v>
                </c:pt>
                <c:pt idx="5">
                  <c:v>0.4</c:v>
                </c:pt>
                <c:pt idx="6">
                  <c:v>0.48000000000000004</c:v>
                </c:pt>
                <c:pt idx="7">
                  <c:v>0.56000000000000005</c:v>
                </c:pt>
                <c:pt idx="8">
                  <c:v>0.64</c:v>
                </c:pt>
                <c:pt idx="9">
                  <c:v>0.72</c:v>
                </c:pt>
                <c:pt idx="10">
                  <c:v>0.79999999999999993</c:v>
                </c:pt>
                <c:pt idx="11">
                  <c:v>0.87999999999999989</c:v>
                </c:pt>
                <c:pt idx="12">
                  <c:v>0.95999999999999985</c:v>
                </c:pt>
                <c:pt idx="13">
                  <c:v>1.0399999999999998</c:v>
                </c:pt>
                <c:pt idx="14">
                  <c:v>1.1199999999999999</c:v>
                </c:pt>
                <c:pt idx="15">
                  <c:v>1.2</c:v>
                </c:pt>
                <c:pt idx="16">
                  <c:v>1.28</c:v>
                </c:pt>
                <c:pt idx="17">
                  <c:v>1.36</c:v>
                </c:pt>
                <c:pt idx="18">
                  <c:v>1.4400000000000002</c:v>
                </c:pt>
                <c:pt idx="19">
                  <c:v>1.5200000000000002</c:v>
                </c:pt>
                <c:pt idx="20">
                  <c:v>1.6000000000000003</c:v>
                </c:pt>
                <c:pt idx="21">
                  <c:v>1.6800000000000004</c:v>
                </c:pt>
                <c:pt idx="22">
                  <c:v>1.7600000000000005</c:v>
                </c:pt>
                <c:pt idx="23">
                  <c:v>1.8400000000000005</c:v>
                </c:pt>
                <c:pt idx="24">
                  <c:v>1.9200000000000006</c:v>
                </c:pt>
                <c:pt idx="25">
                  <c:v>2.0000000000000004</c:v>
                </c:pt>
                <c:pt idx="26">
                  <c:v>2.0800000000000005</c:v>
                </c:pt>
                <c:pt idx="27">
                  <c:v>2.1600000000000006</c:v>
                </c:pt>
                <c:pt idx="28">
                  <c:v>2.2400000000000007</c:v>
                </c:pt>
                <c:pt idx="29">
                  <c:v>2.3200000000000007</c:v>
                </c:pt>
                <c:pt idx="30">
                  <c:v>2.4000000000000008</c:v>
                </c:pt>
                <c:pt idx="31">
                  <c:v>2.4800000000000009</c:v>
                </c:pt>
                <c:pt idx="32">
                  <c:v>2.5600000000000009</c:v>
                </c:pt>
                <c:pt idx="33">
                  <c:v>2.640000000000001</c:v>
                </c:pt>
                <c:pt idx="34">
                  <c:v>2.7200000000000011</c:v>
                </c:pt>
                <c:pt idx="35">
                  <c:v>2.8000000000000012</c:v>
                </c:pt>
                <c:pt idx="36">
                  <c:v>2.8800000000000012</c:v>
                </c:pt>
                <c:pt idx="37">
                  <c:v>2.9600000000000013</c:v>
                </c:pt>
                <c:pt idx="38">
                  <c:v>3.0400000000000014</c:v>
                </c:pt>
                <c:pt idx="39">
                  <c:v>3.1200000000000014</c:v>
                </c:pt>
                <c:pt idx="40">
                  <c:v>3.2000000000000015</c:v>
                </c:pt>
                <c:pt idx="41">
                  <c:v>3.2800000000000016</c:v>
                </c:pt>
                <c:pt idx="42">
                  <c:v>3.3600000000000017</c:v>
                </c:pt>
                <c:pt idx="43">
                  <c:v>3.4400000000000017</c:v>
                </c:pt>
                <c:pt idx="44">
                  <c:v>3.5200000000000018</c:v>
                </c:pt>
                <c:pt idx="45">
                  <c:v>3.6000000000000019</c:v>
                </c:pt>
                <c:pt idx="46">
                  <c:v>3.6800000000000019</c:v>
                </c:pt>
                <c:pt idx="47">
                  <c:v>3.760000000000002</c:v>
                </c:pt>
                <c:pt idx="48">
                  <c:v>3.8400000000000021</c:v>
                </c:pt>
                <c:pt idx="49">
                  <c:v>3.9200000000000021</c:v>
                </c:pt>
                <c:pt idx="50">
                  <c:v>4.0000000000000018</c:v>
                </c:pt>
                <c:pt idx="51">
                  <c:v>4.0800000000000018</c:v>
                </c:pt>
                <c:pt idx="52">
                  <c:v>4.1600000000000019</c:v>
                </c:pt>
                <c:pt idx="53">
                  <c:v>4.240000000000002</c:v>
                </c:pt>
                <c:pt idx="54">
                  <c:v>4.3200000000000021</c:v>
                </c:pt>
                <c:pt idx="55">
                  <c:v>4.4000000000000021</c:v>
                </c:pt>
                <c:pt idx="56">
                  <c:v>4.4800000000000022</c:v>
                </c:pt>
                <c:pt idx="57">
                  <c:v>4.5600000000000023</c:v>
                </c:pt>
                <c:pt idx="58">
                  <c:v>4.6400000000000023</c:v>
                </c:pt>
                <c:pt idx="59">
                  <c:v>4.7200000000000024</c:v>
                </c:pt>
                <c:pt idx="60">
                  <c:v>4.8000000000000025</c:v>
                </c:pt>
                <c:pt idx="61">
                  <c:v>4.8800000000000026</c:v>
                </c:pt>
                <c:pt idx="62">
                  <c:v>4.9600000000000026</c:v>
                </c:pt>
                <c:pt idx="63">
                  <c:v>5.0400000000000027</c:v>
                </c:pt>
                <c:pt idx="64">
                  <c:v>5.1200000000000028</c:v>
                </c:pt>
                <c:pt idx="65">
                  <c:v>5.2000000000000028</c:v>
                </c:pt>
                <c:pt idx="66">
                  <c:v>5.2800000000000029</c:v>
                </c:pt>
                <c:pt idx="67">
                  <c:v>5.360000000000003</c:v>
                </c:pt>
                <c:pt idx="68">
                  <c:v>5.4400000000000031</c:v>
                </c:pt>
                <c:pt idx="69">
                  <c:v>5.5200000000000031</c:v>
                </c:pt>
                <c:pt idx="70">
                  <c:v>5.6000000000000032</c:v>
                </c:pt>
                <c:pt idx="71">
                  <c:v>5.6800000000000033</c:v>
                </c:pt>
                <c:pt idx="72">
                  <c:v>5.7600000000000033</c:v>
                </c:pt>
                <c:pt idx="73">
                  <c:v>5.8400000000000034</c:v>
                </c:pt>
                <c:pt idx="74">
                  <c:v>5.9200000000000035</c:v>
                </c:pt>
                <c:pt idx="75">
                  <c:v>6.0000000000000036</c:v>
                </c:pt>
                <c:pt idx="76">
                  <c:v>6.0800000000000036</c:v>
                </c:pt>
                <c:pt idx="77">
                  <c:v>6.1600000000000037</c:v>
                </c:pt>
                <c:pt idx="78">
                  <c:v>6.2400000000000038</c:v>
                </c:pt>
                <c:pt idx="79">
                  <c:v>6.3200000000000038</c:v>
                </c:pt>
                <c:pt idx="80">
                  <c:v>6.4000000000000039</c:v>
                </c:pt>
                <c:pt idx="81">
                  <c:v>6.480000000000004</c:v>
                </c:pt>
                <c:pt idx="82">
                  <c:v>6.5600000000000041</c:v>
                </c:pt>
                <c:pt idx="83">
                  <c:v>6.6400000000000041</c:v>
                </c:pt>
                <c:pt idx="84">
                  <c:v>6.7200000000000042</c:v>
                </c:pt>
                <c:pt idx="85">
                  <c:v>6.8000000000000043</c:v>
                </c:pt>
                <c:pt idx="86">
                  <c:v>6.8800000000000043</c:v>
                </c:pt>
                <c:pt idx="87">
                  <c:v>6.9600000000000044</c:v>
                </c:pt>
                <c:pt idx="88">
                  <c:v>7.0400000000000045</c:v>
                </c:pt>
                <c:pt idx="89">
                  <c:v>7.1200000000000045</c:v>
                </c:pt>
                <c:pt idx="90">
                  <c:v>7.2000000000000046</c:v>
                </c:pt>
                <c:pt idx="91">
                  <c:v>7.2800000000000047</c:v>
                </c:pt>
                <c:pt idx="92">
                  <c:v>7.3600000000000048</c:v>
                </c:pt>
                <c:pt idx="93">
                  <c:v>7.4400000000000048</c:v>
                </c:pt>
                <c:pt idx="94">
                  <c:v>7.5200000000000049</c:v>
                </c:pt>
                <c:pt idx="95">
                  <c:v>7.600000000000005</c:v>
                </c:pt>
                <c:pt idx="96">
                  <c:v>7.680000000000005</c:v>
                </c:pt>
                <c:pt idx="97">
                  <c:v>7.7600000000000051</c:v>
                </c:pt>
                <c:pt idx="98">
                  <c:v>7.8400000000000052</c:v>
                </c:pt>
                <c:pt idx="99">
                  <c:v>7.9200000000000053</c:v>
                </c:pt>
                <c:pt idx="100">
                  <c:v>8.0000000000000053</c:v>
                </c:pt>
              </c:numCache>
            </c:numRef>
          </c:cat>
          <c:val>
            <c:numRef>
              <c:f>calculations!$C$83:$CY$83</c:f>
              <c:numCache>
                <c:formatCode>0.00</c:formatCode>
                <c:ptCount val="101"/>
                <c:pt idx="0">
                  <c:v>45.280999999999999</c:v>
                </c:pt>
                <c:pt idx="1">
                  <c:v>44.631879999999995</c:v>
                </c:pt>
                <c:pt idx="2">
                  <c:v>43.982759999999999</c:v>
                </c:pt>
                <c:pt idx="3">
                  <c:v>43.333639999999995</c:v>
                </c:pt>
                <c:pt idx="4">
                  <c:v>42.684519999999992</c:v>
                </c:pt>
                <c:pt idx="5">
                  <c:v>42.035399999999996</c:v>
                </c:pt>
                <c:pt idx="6">
                  <c:v>41.386279999999999</c:v>
                </c:pt>
                <c:pt idx="7">
                  <c:v>40.737160000000003</c:v>
                </c:pt>
                <c:pt idx="8">
                  <c:v>40.088039999999999</c:v>
                </c:pt>
                <c:pt idx="9">
                  <c:v>39.438919999999996</c:v>
                </c:pt>
                <c:pt idx="10">
                  <c:v>38.7898</c:v>
                </c:pt>
                <c:pt idx="11">
                  <c:v>38.140679999999996</c:v>
                </c:pt>
                <c:pt idx="12">
                  <c:v>37.49156</c:v>
                </c:pt>
                <c:pt idx="13">
                  <c:v>36.666440000000001</c:v>
                </c:pt>
                <c:pt idx="14">
                  <c:v>35.665320000000001</c:v>
                </c:pt>
                <c:pt idx="15">
                  <c:v>34.664199999999994</c:v>
                </c:pt>
                <c:pt idx="16">
                  <c:v>33.663080000000001</c:v>
                </c:pt>
                <c:pt idx="17">
                  <c:v>32.661959999999993</c:v>
                </c:pt>
                <c:pt idx="18">
                  <c:v>31.660839999999993</c:v>
                </c:pt>
                <c:pt idx="19">
                  <c:v>30.659719999999993</c:v>
                </c:pt>
                <c:pt idx="20">
                  <c:v>29.658599999999993</c:v>
                </c:pt>
                <c:pt idx="21">
                  <c:v>28.657479999999993</c:v>
                </c:pt>
                <c:pt idx="22">
                  <c:v>27.656359999999992</c:v>
                </c:pt>
                <c:pt idx="23">
                  <c:v>26.655239999999992</c:v>
                </c:pt>
                <c:pt idx="24">
                  <c:v>25.654119999999988</c:v>
                </c:pt>
                <c:pt idx="25">
                  <c:v>24.652999999999992</c:v>
                </c:pt>
                <c:pt idx="26">
                  <c:v>23.651879999999991</c:v>
                </c:pt>
                <c:pt idx="27">
                  <c:v>22.650759999999991</c:v>
                </c:pt>
                <c:pt idx="28">
                  <c:v>21.649639999999991</c:v>
                </c:pt>
                <c:pt idx="29">
                  <c:v>20.648519999999991</c:v>
                </c:pt>
                <c:pt idx="30">
                  <c:v>19.64739999999999</c:v>
                </c:pt>
                <c:pt idx="31">
                  <c:v>18.64627999999999</c:v>
                </c:pt>
                <c:pt idx="32">
                  <c:v>17.645159999999986</c:v>
                </c:pt>
                <c:pt idx="33">
                  <c:v>16.644039999999986</c:v>
                </c:pt>
                <c:pt idx="34">
                  <c:v>15.642919999999984</c:v>
                </c:pt>
                <c:pt idx="35">
                  <c:v>14.641799999999986</c:v>
                </c:pt>
                <c:pt idx="36">
                  <c:v>13.640679999999984</c:v>
                </c:pt>
                <c:pt idx="37">
                  <c:v>12.639559999999983</c:v>
                </c:pt>
                <c:pt idx="38">
                  <c:v>5.6384399999999824</c:v>
                </c:pt>
                <c:pt idx="39">
                  <c:v>4.637319999999983</c:v>
                </c:pt>
                <c:pt idx="40">
                  <c:v>3.636199999999981</c:v>
                </c:pt>
                <c:pt idx="41">
                  <c:v>2.635079999999979</c:v>
                </c:pt>
                <c:pt idx="42">
                  <c:v>1.6339599999999792</c:v>
                </c:pt>
                <c:pt idx="43">
                  <c:v>0.63283999999997731</c:v>
                </c:pt>
                <c:pt idx="44">
                  <c:v>-0.36828000000002226</c:v>
                </c:pt>
                <c:pt idx="45">
                  <c:v>-1.3694000000000242</c:v>
                </c:pt>
                <c:pt idx="46">
                  <c:v>-2.3705200000000239</c:v>
                </c:pt>
                <c:pt idx="47">
                  <c:v>-3.3716400000000259</c:v>
                </c:pt>
                <c:pt idx="48">
                  <c:v>-4.3727600000000253</c:v>
                </c:pt>
                <c:pt idx="49">
                  <c:v>-5.3738800000000273</c:v>
                </c:pt>
                <c:pt idx="50">
                  <c:v>-6.3750000000000231</c:v>
                </c:pt>
                <c:pt idx="51">
                  <c:v>-7.0241200000000141</c:v>
                </c:pt>
                <c:pt idx="52">
                  <c:v>-7.6732400000000158</c:v>
                </c:pt>
                <c:pt idx="53">
                  <c:v>-8.3223600000000157</c:v>
                </c:pt>
                <c:pt idx="54">
                  <c:v>-8.9714800000000174</c:v>
                </c:pt>
                <c:pt idx="55">
                  <c:v>-9.6206000000000174</c:v>
                </c:pt>
                <c:pt idx="56">
                  <c:v>-10.269720000000017</c:v>
                </c:pt>
                <c:pt idx="57">
                  <c:v>-10.918840000000021</c:v>
                </c:pt>
                <c:pt idx="58">
                  <c:v>-11.567960000000019</c:v>
                </c:pt>
                <c:pt idx="59">
                  <c:v>-12.217080000000019</c:v>
                </c:pt>
                <c:pt idx="60">
                  <c:v>-12.866200000000017</c:v>
                </c:pt>
                <c:pt idx="61">
                  <c:v>-13.515320000000022</c:v>
                </c:pt>
                <c:pt idx="62">
                  <c:v>-14.164440000000022</c:v>
                </c:pt>
                <c:pt idx="63">
                  <c:v>-14.81356000000002</c:v>
                </c:pt>
                <c:pt idx="64">
                  <c:v>-15.462680000000024</c:v>
                </c:pt>
                <c:pt idx="65">
                  <c:v>-16.111800000000024</c:v>
                </c:pt>
                <c:pt idx="66">
                  <c:v>-16.760920000000024</c:v>
                </c:pt>
                <c:pt idx="67">
                  <c:v>-17.410040000000023</c:v>
                </c:pt>
                <c:pt idx="68">
                  <c:v>-18.059160000000027</c:v>
                </c:pt>
                <c:pt idx="69">
                  <c:v>-18.708280000000023</c:v>
                </c:pt>
                <c:pt idx="70">
                  <c:v>-19.357400000000027</c:v>
                </c:pt>
                <c:pt idx="71">
                  <c:v>-20.006520000000023</c:v>
                </c:pt>
                <c:pt idx="72">
                  <c:v>-20.655640000000027</c:v>
                </c:pt>
                <c:pt idx="73">
                  <c:v>-21.304760000000027</c:v>
                </c:pt>
                <c:pt idx="74">
                  <c:v>-21.953880000000026</c:v>
                </c:pt>
                <c:pt idx="75">
                  <c:v>-22.60300000000003</c:v>
                </c:pt>
                <c:pt idx="76">
                  <c:v>-23.25212000000003</c:v>
                </c:pt>
                <c:pt idx="77">
                  <c:v>-23.90124000000003</c:v>
                </c:pt>
                <c:pt idx="78">
                  <c:v>-24.550360000000026</c:v>
                </c:pt>
                <c:pt idx="79">
                  <c:v>-25.19948000000003</c:v>
                </c:pt>
                <c:pt idx="80">
                  <c:v>-25.848600000000033</c:v>
                </c:pt>
                <c:pt idx="81">
                  <c:v>-26.497720000000029</c:v>
                </c:pt>
                <c:pt idx="82">
                  <c:v>-27.146840000000029</c:v>
                </c:pt>
                <c:pt idx="83">
                  <c:v>-27.795960000000033</c:v>
                </c:pt>
                <c:pt idx="84">
                  <c:v>-28.445080000000033</c:v>
                </c:pt>
                <c:pt idx="85">
                  <c:v>-29.094200000000033</c:v>
                </c:pt>
                <c:pt idx="86">
                  <c:v>-29.743320000000033</c:v>
                </c:pt>
                <c:pt idx="87">
                  <c:v>-30.392440000000036</c:v>
                </c:pt>
                <c:pt idx="88">
                  <c:v>-31.041560000000036</c:v>
                </c:pt>
                <c:pt idx="89">
                  <c:v>-31.690680000000032</c:v>
                </c:pt>
                <c:pt idx="90">
                  <c:v>-32.339800000000039</c:v>
                </c:pt>
                <c:pt idx="91">
                  <c:v>-32.988920000000036</c:v>
                </c:pt>
                <c:pt idx="92">
                  <c:v>-33.638040000000032</c:v>
                </c:pt>
                <c:pt idx="93">
                  <c:v>-34.287160000000036</c:v>
                </c:pt>
                <c:pt idx="94">
                  <c:v>-34.936280000000039</c:v>
                </c:pt>
                <c:pt idx="95">
                  <c:v>-35.585400000000035</c:v>
                </c:pt>
                <c:pt idx="96">
                  <c:v>-36.234520000000039</c:v>
                </c:pt>
                <c:pt idx="97">
                  <c:v>-36.883640000000042</c:v>
                </c:pt>
                <c:pt idx="98">
                  <c:v>-37.532760000000039</c:v>
                </c:pt>
                <c:pt idx="99">
                  <c:v>-38.181880000000042</c:v>
                </c:pt>
                <c:pt idx="100">
                  <c:v>-38.831000000000039</c:v>
                </c:pt>
              </c:numCache>
            </c:numRef>
          </c:val>
          <c:smooth val="0"/>
          <c:extLst>
            <c:ext xmlns:c16="http://schemas.microsoft.com/office/drawing/2014/chart" uri="{C3380CC4-5D6E-409C-BE32-E72D297353CC}">
              <c16:uniqueId val="{00000000-4FA7-45FB-9FEF-C27333CF0A70}"/>
            </c:ext>
          </c:extLst>
        </c:ser>
        <c:dLbls>
          <c:showLegendKey val="0"/>
          <c:showVal val="0"/>
          <c:showCatName val="0"/>
          <c:showSerName val="0"/>
          <c:showPercent val="0"/>
          <c:showBubbleSize val="0"/>
        </c:dLbls>
        <c:smooth val="0"/>
        <c:axId val="337073896"/>
        <c:axId val="1"/>
      </c:lineChart>
      <c:catAx>
        <c:axId val="337073896"/>
        <c:scaling>
          <c:orientation val="minMax"/>
        </c:scaling>
        <c:delete val="0"/>
        <c:axPos val="b"/>
        <c:numFmt formatCode="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60"/>
        <c:tickLblSkip val="25"/>
        <c:tickMarkSkip val="1"/>
        <c:noMultiLvlLbl val="0"/>
      </c:catAx>
      <c:valAx>
        <c:axId val="1"/>
        <c:scaling>
          <c:orientation val="minMax"/>
        </c:scaling>
        <c:delete val="0"/>
        <c:axPos val="l"/>
        <c:majorGridlines>
          <c:spPr>
            <a:ln w="3175">
              <a:solidFill>
                <a:srgbClr val="96969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37073896"/>
        <c:crosses val="autoZero"/>
        <c:crossBetween val="between"/>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3073588770124"/>
          <c:y val="0.10457583088127362"/>
          <c:w val="0.81337451082087864"/>
          <c:h val="0.80610502118607763"/>
        </c:manualLayout>
      </c:layout>
      <c:lineChart>
        <c:grouping val="standard"/>
        <c:varyColors val="0"/>
        <c:ser>
          <c:idx val="0"/>
          <c:order val="0"/>
          <c:tx>
            <c:v>deflection</c:v>
          </c:tx>
          <c:spPr>
            <a:ln w="19050">
              <a:solidFill>
                <a:schemeClr val="tx1"/>
              </a:solidFill>
              <a:prstDash val="solid"/>
            </a:ln>
          </c:spPr>
          <c:marker>
            <c:symbol val="none"/>
          </c:marker>
          <c:cat>
            <c:numRef>
              <c:f>calculations!$C$79:$CY$79</c:f>
              <c:numCache>
                <c:formatCode>0.0</c:formatCode>
                <c:ptCount val="101"/>
                <c:pt idx="0">
                  <c:v>0</c:v>
                </c:pt>
                <c:pt idx="1">
                  <c:v>0.08</c:v>
                </c:pt>
                <c:pt idx="2">
                  <c:v>0.16</c:v>
                </c:pt>
                <c:pt idx="3">
                  <c:v>0.24</c:v>
                </c:pt>
                <c:pt idx="4">
                  <c:v>0.32</c:v>
                </c:pt>
                <c:pt idx="5">
                  <c:v>0.4</c:v>
                </c:pt>
                <c:pt idx="6">
                  <c:v>0.48000000000000004</c:v>
                </c:pt>
                <c:pt idx="7">
                  <c:v>0.56000000000000005</c:v>
                </c:pt>
                <c:pt idx="8">
                  <c:v>0.64</c:v>
                </c:pt>
                <c:pt idx="9">
                  <c:v>0.72</c:v>
                </c:pt>
                <c:pt idx="10">
                  <c:v>0.79999999999999993</c:v>
                </c:pt>
                <c:pt idx="11">
                  <c:v>0.87999999999999989</c:v>
                </c:pt>
                <c:pt idx="12">
                  <c:v>0.95999999999999985</c:v>
                </c:pt>
                <c:pt idx="13">
                  <c:v>1.0399999999999998</c:v>
                </c:pt>
                <c:pt idx="14">
                  <c:v>1.1199999999999999</c:v>
                </c:pt>
                <c:pt idx="15">
                  <c:v>1.2</c:v>
                </c:pt>
                <c:pt idx="16">
                  <c:v>1.28</c:v>
                </c:pt>
                <c:pt idx="17">
                  <c:v>1.36</c:v>
                </c:pt>
                <c:pt idx="18">
                  <c:v>1.4400000000000002</c:v>
                </c:pt>
                <c:pt idx="19">
                  <c:v>1.5200000000000002</c:v>
                </c:pt>
                <c:pt idx="20">
                  <c:v>1.6000000000000003</c:v>
                </c:pt>
                <c:pt idx="21">
                  <c:v>1.6800000000000004</c:v>
                </c:pt>
                <c:pt idx="22">
                  <c:v>1.7600000000000005</c:v>
                </c:pt>
                <c:pt idx="23">
                  <c:v>1.8400000000000005</c:v>
                </c:pt>
                <c:pt idx="24">
                  <c:v>1.9200000000000006</c:v>
                </c:pt>
                <c:pt idx="25">
                  <c:v>2.0000000000000004</c:v>
                </c:pt>
                <c:pt idx="26">
                  <c:v>2.0800000000000005</c:v>
                </c:pt>
                <c:pt idx="27">
                  <c:v>2.1600000000000006</c:v>
                </c:pt>
                <c:pt idx="28">
                  <c:v>2.2400000000000007</c:v>
                </c:pt>
                <c:pt idx="29">
                  <c:v>2.3200000000000007</c:v>
                </c:pt>
                <c:pt idx="30">
                  <c:v>2.4000000000000008</c:v>
                </c:pt>
                <c:pt idx="31">
                  <c:v>2.4800000000000009</c:v>
                </c:pt>
                <c:pt idx="32">
                  <c:v>2.5600000000000009</c:v>
                </c:pt>
                <c:pt idx="33">
                  <c:v>2.640000000000001</c:v>
                </c:pt>
                <c:pt idx="34">
                  <c:v>2.7200000000000011</c:v>
                </c:pt>
                <c:pt idx="35">
                  <c:v>2.8000000000000012</c:v>
                </c:pt>
                <c:pt idx="36">
                  <c:v>2.8800000000000012</c:v>
                </c:pt>
                <c:pt idx="37">
                  <c:v>2.9600000000000013</c:v>
                </c:pt>
                <c:pt idx="38">
                  <c:v>3.0400000000000014</c:v>
                </c:pt>
                <c:pt idx="39">
                  <c:v>3.1200000000000014</c:v>
                </c:pt>
                <c:pt idx="40">
                  <c:v>3.2000000000000015</c:v>
                </c:pt>
                <c:pt idx="41">
                  <c:v>3.2800000000000016</c:v>
                </c:pt>
                <c:pt idx="42">
                  <c:v>3.3600000000000017</c:v>
                </c:pt>
                <c:pt idx="43">
                  <c:v>3.4400000000000017</c:v>
                </c:pt>
                <c:pt idx="44">
                  <c:v>3.5200000000000018</c:v>
                </c:pt>
                <c:pt idx="45">
                  <c:v>3.6000000000000019</c:v>
                </c:pt>
                <c:pt idx="46">
                  <c:v>3.6800000000000019</c:v>
                </c:pt>
                <c:pt idx="47">
                  <c:v>3.760000000000002</c:v>
                </c:pt>
                <c:pt idx="48">
                  <c:v>3.8400000000000021</c:v>
                </c:pt>
                <c:pt idx="49">
                  <c:v>3.9200000000000021</c:v>
                </c:pt>
                <c:pt idx="50">
                  <c:v>4.0000000000000018</c:v>
                </c:pt>
                <c:pt idx="51">
                  <c:v>4.0800000000000018</c:v>
                </c:pt>
                <c:pt idx="52">
                  <c:v>4.1600000000000019</c:v>
                </c:pt>
                <c:pt idx="53">
                  <c:v>4.240000000000002</c:v>
                </c:pt>
                <c:pt idx="54">
                  <c:v>4.3200000000000021</c:v>
                </c:pt>
                <c:pt idx="55">
                  <c:v>4.4000000000000021</c:v>
                </c:pt>
                <c:pt idx="56">
                  <c:v>4.4800000000000022</c:v>
                </c:pt>
                <c:pt idx="57">
                  <c:v>4.5600000000000023</c:v>
                </c:pt>
                <c:pt idx="58">
                  <c:v>4.6400000000000023</c:v>
                </c:pt>
                <c:pt idx="59">
                  <c:v>4.7200000000000024</c:v>
                </c:pt>
                <c:pt idx="60">
                  <c:v>4.8000000000000025</c:v>
                </c:pt>
                <c:pt idx="61">
                  <c:v>4.8800000000000026</c:v>
                </c:pt>
                <c:pt idx="62">
                  <c:v>4.9600000000000026</c:v>
                </c:pt>
                <c:pt idx="63">
                  <c:v>5.0400000000000027</c:v>
                </c:pt>
                <c:pt idx="64">
                  <c:v>5.1200000000000028</c:v>
                </c:pt>
                <c:pt idx="65">
                  <c:v>5.2000000000000028</c:v>
                </c:pt>
                <c:pt idx="66">
                  <c:v>5.2800000000000029</c:v>
                </c:pt>
                <c:pt idx="67">
                  <c:v>5.360000000000003</c:v>
                </c:pt>
                <c:pt idx="68">
                  <c:v>5.4400000000000031</c:v>
                </c:pt>
                <c:pt idx="69">
                  <c:v>5.5200000000000031</c:v>
                </c:pt>
                <c:pt idx="70">
                  <c:v>5.6000000000000032</c:v>
                </c:pt>
                <c:pt idx="71">
                  <c:v>5.6800000000000033</c:v>
                </c:pt>
                <c:pt idx="72">
                  <c:v>5.7600000000000033</c:v>
                </c:pt>
                <c:pt idx="73">
                  <c:v>5.8400000000000034</c:v>
                </c:pt>
                <c:pt idx="74">
                  <c:v>5.9200000000000035</c:v>
                </c:pt>
                <c:pt idx="75">
                  <c:v>6.0000000000000036</c:v>
                </c:pt>
                <c:pt idx="76">
                  <c:v>6.0800000000000036</c:v>
                </c:pt>
                <c:pt idx="77">
                  <c:v>6.1600000000000037</c:v>
                </c:pt>
                <c:pt idx="78">
                  <c:v>6.2400000000000038</c:v>
                </c:pt>
                <c:pt idx="79">
                  <c:v>6.3200000000000038</c:v>
                </c:pt>
                <c:pt idx="80">
                  <c:v>6.4000000000000039</c:v>
                </c:pt>
                <c:pt idx="81">
                  <c:v>6.480000000000004</c:v>
                </c:pt>
                <c:pt idx="82">
                  <c:v>6.5600000000000041</c:v>
                </c:pt>
                <c:pt idx="83">
                  <c:v>6.6400000000000041</c:v>
                </c:pt>
                <c:pt idx="84">
                  <c:v>6.7200000000000042</c:v>
                </c:pt>
                <c:pt idx="85">
                  <c:v>6.8000000000000043</c:v>
                </c:pt>
                <c:pt idx="86">
                  <c:v>6.8800000000000043</c:v>
                </c:pt>
                <c:pt idx="87">
                  <c:v>6.9600000000000044</c:v>
                </c:pt>
                <c:pt idx="88">
                  <c:v>7.0400000000000045</c:v>
                </c:pt>
                <c:pt idx="89">
                  <c:v>7.1200000000000045</c:v>
                </c:pt>
                <c:pt idx="90">
                  <c:v>7.2000000000000046</c:v>
                </c:pt>
                <c:pt idx="91">
                  <c:v>7.2800000000000047</c:v>
                </c:pt>
                <c:pt idx="92">
                  <c:v>7.3600000000000048</c:v>
                </c:pt>
                <c:pt idx="93">
                  <c:v>7.4400000000000048</c:v>
                </c:pt>
                <c:pt idx="94">
                  <c:v>7.5200000000000049</c:v>
                </c:pt>
                <c:pt idx="95">
                  <c:v>7.600000000000005</c:v>
                </c:pt>
                <c:pt idx="96">
                  <c:v>7.680000000000005</c:v>
                </c:pt>
                <c:pt idx="97">
                  <c:v>7.7600000000000051</c:v>
                </c:pt>
                <c:pt idx="98">
                  <c:v>7.8400000000000052</c:v>
                </c:pt>
                <c:pt idx="99">
                  <c:v>7.9200000000000053</c:v>
                </c:pt>
                <c:pt idx="100">
                  <c:v>8.0000000000000053</c:v>
                </c:pt>
              </c:numCache>
            </c:numRef>
          </c:cat>
          <c:val>
            <c:numRef>
              <c:f>calculations!$C$86:$CY$86</c:f>
              <c:numCache>
                <c:formatCode>0.00</c:formatCode>
                <c:ptCount val="101"/>
                <c:pt idx="0">
                  <c:v>0</c:v>
                </c:pt>
                <c:pt idx="1">
                  <c:v>-0.46012353077552975</c:v>
                </c:pt>
                <c:pt idx="2">
                  <c:v>-0.91970733390071047</c:v>
                </c:pt>
                <c:pt idx="3">
                  <c:v>-1.3782188390382304</c:v>
                </c:pt>
                <c:pt idx="4">
                  <c:v>-1.8351332838286367</c:v>
                </c:pt>
                <c:pt idx="5">
                  <c:v>-2.2899337138903335</c:v>
                </c:pt>
                <c:pt idx="6">
                  <c:v>-2.7421109828195855</c:v>
                </c:pt>
                <c:pt idx="7">
                  <c:v>-3.1911637521905138</c:v>
                </c:pt>
                <c:pt idx="8">
                  <c:v>-3.6365984915551</c:v>
                </c:pt>
                <c:pt idx="9">
                  <c:v>-4.0779294784431821</c:v>
                </c:pt>
                <c:pt idx="10">
                  <c:v>-4.5146787983624579</c:v>
                </c:pt>
                <c:pt idx="11">
                  <c:v>-4.9463763447984839</c:v>
                </c:pt>
                <c:pt idx="12">
                  <c:v>-5.3725598192146755</c:v>
                </c:pt>
                <c:pt idx="13">
                  <c:v>-5.7927747421230542</c:v>
                </c:pt>
                <c:pt idx="14">
                  <c:v>-6.2065752944611745</c:v>
                </c:pt>
                <c:pt idx="15">
                  <c:v>-6.6135268638643927</c:v>
                </c:pt>
                <c:pt idx="16">
                  <c:v>-7.013206886042795</c:v>
                </c:pt>
                <c:pt idx="17">
                  <c:v>-7.4052048558519408</c:v>
                </c:pt>
                <c:pt idx="18">
                  <c:v>-7.7891223272928682</c:v>
                </c:pt>
                <c:pt idx="19">
                  <c:v>-8.1645729135120941</c:v>
                </c:pt>
                <c:pt idx="20">
                  <c:v>-8.5311822868016058</c:v>
                </c:pt>
                <c:pt idx="21">
                  <c:v>-8.8885881785988747</c:v>
                </c:pt>
                <c:pt idx="22">
                  <c:v>-9.2364403794868419</c:v>
                </c:pt>
                <c:pt idx="23">
                  <c:v>-9.5744007391939281</c:v>
                </c:pt>
                <c:pt idx="24">
                  <c:v>-9.9021431665940334</c:v>
                </c:pt>
                <c:pt idx="25">
                  <c:v>-10.219353629706527</c:v>
                </c:pt>
                <c:pt idx="26">
                  <c:v>-10.525730155696264</c:v>
                </c:pt>
                <c:pt idx="27">
                  <c:v>-10.82098283087357</c:v>
                </c:pt>
                <c:pt idx="28">
                  <c:v>-11.104833800694248</c:v>
                </c:pt>
                <c:pt idx="29">
                  <c:v>-11.377017269759577</c:v>
                </c:pt>
                <c:pt idx="30">
                  <c:v>-11.637279501816316</c:v>
                </c:pt>
                <c:pt idx="31">
                  <c:v>-11.885378819756697</c:v>
                </c:pt>
                <c:pt idx="32">
                  <c:v>-12.121085605618429</c:v>
                </c:pt>
                <c:pt idx="33">
                  <c:v>-12.344182300584698</c:v>
                </c:pt>
                <c:pt idx="34">
                  <c:v>-12.554463404984167</c:v>
                </c:pt>
                <c:pt idx="35">
                  <c:v>-12.751735478290978</c:v>
                </c:pt>
                <c:pt idx="36">
                  <c:v>-12.935817139124742</c:v>
                </c:pt>
                <c:pt idx="37">
                  <c:v>-13.10653906525056</c:v>
                </c:pt>
                <c:pt idx="38">
                  <c:v>-13.263745469678859</c:v>
                </c:pt>
                <c:pt idx="39">
                  <c:v>-13.407326574862509</c:v>
                </c:pt>
                <c:pt idx="40">
                  <c:v>-13.537218612696794</c:v>
                </c:pt>
                <c:pt idx="41">
                  <c:v>-13.653371350322349</c:v>
                </c:pt>
                <c:pt idx="42">
                  <c:v>-13.755746614025282</c:v>
                </c:pt>
                <c:pt idx="43">
                  <c:v>-13.844318289237187</c:v>
                </c:pt>
                <c:pt idx="44">
                  <c:v>-13.919072320535117</c:v>
                </c:pt>
                <c:pt idx="45">
                  <c:v>-13.980006711641614</c:v>
                </c:pt>
                <c:pt idx="46">
                  <c:v>-14.027131525424698</c:v>
                </c:pt>
                <c:pt idx="47">
                  <c:v>-14.060468883897858</c:v>
                </c:pt>
                <c:pt idx="48">
                  <c:v>-14.080052968220061</c:v>
                </c:pt>
                <c:pt idx="49">
                  <c:v>-14.085930018695761</c:v>
                </c:pt>
                <c:pt idx="50">
                  <c:v>-14.078158334774871</c:v>
                </c:pt>
                <c:pt idx="51">
                  <c:v>-14.056808097920808</c:v>
                </c:pt>
                <c:pt idx="52">
                  <c:v>-14.021959423158656</c:v>
                </c:pt>
                <c:pt idx="53">
                  <c:v>-13.973700410623337</c:v>
                </c:pt>
                <c:pt idx="54">
                  <c:v>-13.912126968427637</c:v>
                </c:pt>
                <c:pt idx="55">
                  <c:v>-13.837342812662204</c:v>
                </c:pt>
                <c:pt idx="56">
                  <c:v>-13.749459467395525</c:v>
                </c:pt>
                <c:pt idx="57">
                  <c:v>-13.648596264673966</c:v>
                </c:pt>
                <c:pt idx="58">
                  <c:v>-13.534880344521742</c:v>
                </c:pt>
                <c:pt idx="59">
                  <c:v>-13.408446654940935</c:v>
                </c:pt>
                <c:pt idx="60">
                  <c:v>-13.269437951911467</c:v>
                </c:pt>
                <c:pt idx="61">
                  <c:v>-13.118004799391148</c:v>
                </c:pt>
                <c:pt idx="62">
                  <c:v>-12.95430556931561</c:v>
                </c:pt>
                <c:pt idx="63">
                  <c:v>-12.778506441598372</c:v>
                </c:pt>
                <c:pt idx="64">
                  <c:v>-12.590781404130807</c:v>
                </c:pt>
                <c:pt idx="65">
                  <c:v>-12.391312252782141</c:v>
                </c:pt>
                <c:pt idx="66">
                  <c:v>-12.180288591399448</c:v>
                </c:pt>
                <c:pt idx="67">
                  <c:v>-11.957907831807681</c:v>
                </c:pt>
                <c:pt idx="68">
                  <c:v>-11.724375193809639</c:v>
                </c:pt>
                <c:pt idx="69">
                  <c:v>-11.479903705185992</c:v>
                </c:pt>
                <c:pt idx="70">
                  <c:v>-11.224714201695244</c:v>
                </c:pt>
                <c:pt idx="71">
                  <c:v>-10.959035327073783</c:v>
                </c:pt>
                <c:pt idx="72">
                  <c:v>-10.683103533035839</c:v>
                </c:pt>
                <c:pt idx="73">
                  <c:v>-10.397163079273518</c:v>
                </c:pt>
                <c:pt idx="74">
                  <c:v>-10.101466033456761</c:v>
                </c:pt>
                <c:pt idx="75">
                  <c:v>-9.7962722712333843</c:v>
                </c:pt>
                <c:pt idx="76">
                  <c:v>-9.4818494762290602</c:v>
                </c:pt>
                <c:pt idx="77">
                  <c:v>-9.1584731400473149</c:v>
                </c:pt>
                <c:pt idx="78">
                  <c:v>-8.8264265622695337</c:v>
                </c:pt>
                <c:pt idx="79">
                  <c:v>-8.4860008504549729</c:v>
                </c:pt>
                <c:pt idx="80">
                  <c:v>-8.1374949201407301</c:v>
                </c:pt>
                <c:pt idx="81">
                  <c:v>-7.7812154948417627</c:v>
                </c:pt>
                <c:pt idx="82">
                  <c:v>-7.4174771060508906</c:v>
                </c:pt>
                <c:pt idx="83">
                  <c:v>-7.0466020932388096</c:v>
                </c:pt>
                <c:pt idx="84">
                  <c:v>-6.6689206038540325</c:v>
                </c:pt>
                <c:pt idx="85">
                  <c:v>-6.284770593322988</c:v>
                </c:pt>
                <c:pt idx="86">
                  <c:v>-5.8944978250499149</c:v>
                </c:pt>
                <c:pt idx="87">
                  <c:v>-5.4984558704169144</c:v>
                </c:pt>
                <c:pt idx="88">
                  <c:v>-5.0970061087839893</c:v>
                </c:pt>
                <c:pt idx="89">
                  <c:v>-4.6905177274889276</c:v>
                </c:pt>
                <c:pt idx="90">
                  <c:v>-4.2793677218474633</c:v>
                </c:pt>
                <c:pt idx="91">
                  <c:v>-3.8639408951531253</c:v>
                </c:pt>
                <c:pt idx="92">
                  <c:v>-3.4446298586773154</c:v>
                </c:pt>
                <c:pt idx="93">
                  <c:v>-3.021835031669307</c:v>
                </c:pt>
                <c:pt idx="94">
                  <c:v>-2.5959646413562001</c:v>
                </c:pt>
                <c:pt idx="95">
                  <c:v>-2.1674347229430051</c:v>
                </c:pt>
                <c:pt idx="96">
                  <c:v>-1.7366691196125656</c:v>
                </c:pt>
                <c:pt idx="97">
                  <c:v>-1.3040994825255448</c:v>
                </c:pt>
                <c:pt idx="98">
                  <c:v>-0.87016527082054684</c:v>
                </c:pt>
                <c:pt idx="99">
                  <c:v>-0.43531375161394859</c:v>
                </c:pt>
                <c:pt idx="100">
                  <c:v>0</c:v>
                </c:pt>
              </c:numCache>
            </c:numRef>
          </c:val>
          <c:smooth val="0"/>
          <c:extLst>
            <c:ext xmlns:c16="http://schemas.microsoft.com/office/drawing/2014/chart" uri="{C3380CC4-5D6E-409C-BE32-E72D297353CC}">
              <c16:uniqueId val="{00000000-228B-4F3B-938D-A83A7589A177}"/>
            </c:ext>
          </c:extLst>
        </c:ser>
        <c:dLbls>
          <c:showLegendKey val="0"/>
          <c:showVal val="0"/>
          <c:showCatName val="0"/>
          <c:showSerName val="0"/>
          <c:showPercent val="0"/>
          <c:showBubbleSize val="0"/>
        </c:dLbls>
        <c:smooth val="0"/>
        <c:axId val="337069960"/>
        <c:axId val="1"/>
      </c:lineChart>
      <c:catAx>
        <c:axId val="337069960"/>
        <c:scaling>
          <c:orientation val="minMax"/>
        </c:scaling>
        <c:delete val="0"/>
        <c:axPos val="b"/>
        <c:numFmt formatCode="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60"/>
        <c:tickLblSkip val="25"/>
        <c:tickMarkSkip val="1"/>
        <c:noMultiLvlLbl val="0"/>
      </c:catAx>
      <c:valAx>
        <c:axId val="1"/>
        <c:scaling>
          <c:orientation val="minMax"/>
        </c:scaling>
        <c:delete val="0"/>
        <c:axPos val="l"/>
        <c:majorGridlines>
          <c:spPr>
            <a:ln w="3175">
              <a:solidFill>
                <a:srgbClr val="96969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37069960"/>
        <c:crosses val="autoZero"/>
        <c:crossBetween val="between"/>
      </c:valAx>
      <c:spPr>
        <a:noFill/>
        <a:ln w="25400">
          <a:noFill/>
        </a:ln>
      </c:spPr>
    </c:plotArea>
    <c:plotVisOnly val="1"/>
    <c:dispBlanksAs val="gap"/>
    <c:showDLblsOverMax val="0"/>
  </c:chart>
  <c:spPr>
    <a:solidFill>
      <a:srgbClr val="FFFFCC"/>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fmlaLink="$AF$15" lockText="1" noThreeD="1"/>
</file>

<file path=xl/ctrlProps/ctrlProp3.xml><?xml version="1.0" encoding="utf-8"?>
<formControlPr xmlns="http://schemas.microsoft.com/office/spreadsheetml/2009/9/main" objectType="CheckBox" checked="Checked" fmlaLink="$AF$14" lockText="1" noThreeD="1"/>
</file>

<file path=xl/ctrlProps/ctrlProp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0</xdr:colOff>
      <xdr:row>21</xdr:row>
      <xdr:rowOff>0</xdr:rowOff>
    </xdr:from>
    <xdr:to>
      <xdr:col>24</xdr:col>
      <xdr:colOff>0</xdr:colOff>
      <xdr:row>28</xdr:row>
      <xdr:rowOff>0</xdr:rowOff>
    </xdr:to>
    <xdr:graphicFrame macro="">
      <xdr:nvGraphicFramePr>
        <xdr:cNvPr id="4068963" name="Chart 7">
          <a:extLst>
            <a:ext uri="{FF2B5EF4-FFF2-40B4-BE49-F238E27FC236}">
              <a16:creationId xmlns:a16="http://schemas.microsoft.com/office/drawing/2014/main" id="{00000000-0008-0000-0000-00006316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44</xdr:row>
      <xdr:rowOff>0</xdr:rowOff>
    </xdr:from>
    <xdr:to>
      <xdr:col>24</xdr:col>
      <xdr:colOff>0</xdr:colOff>
      <xdr:row>51</xdr:row>
      <xdr:rowOff>0</xdr:rowOff>
    </xdr:to>
    <xdr:graphicFrame macro="">
      <xdr:nvGraphicFramePr>
        <xdr:cNvPr id="4068964" name="Chart 43">
          <a:extLst>
            <a:ext uri="{FF2B5EF4-FFF2-40B4-BE49-F238E27FC236}">
              <a16:creationId xmlns:a16="http://schemas.microsoft.com/office/drawing/2014/main" id="{00000000-0008-0000-0000-00006416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52</xdr:row>
      <xdr:rowOff>0</xdr:rowOff>
    </xdr:from>
    <xdr:to>
      <xdr:col>24</xdr:col>
      <xdr:colOff>0</xdr:colOff>
      <xdr:row>59</xdr:row>
      <xdr:rowOff>0</xdr:rowOff>
    </xdr:to>
    <xdr:graphicFrame macro="">
      <xdr:nvGraphicFramePr>
        <xdr:cNvPr id="4068965" name="Chart 43">
          <a:extLst>
            <a:ext uri="{FF2B5EF4-FFF2-40B4-BE49-F238E27FC236}">
              <a16:creationId xmlns:a16="http://schemas.microsoft.com/office/drawing/2014/main" id="{00000000-0008-0000-0000-00006516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60</xdr:row>
      <xdr:rowOff>0</xdr:rowOff>
    </xdr:from>
    <xdr:to>
      <xdr:col>24</xdr:col>
      <xdr:colOff>0</xdr:colOff>
      <xdr:row>67</xdr:row>
      <xdr:rowOff>0</xdr:rowOff>
    </xdr:to>
    <xdr:graphicFrame macro="">
      <xdr:nvGraphicFramePr>
        <xdr:cNvPr id="4068966" name="Chart 43">
          <a:extLst>
            <a:ext uri="{FF2B5EF4-FFF2-40B4-BE49-F238E27FC236}">
              <a16:creationId xmlns:a16="http://schemas.microsoft.com/office/drawing/2014/main" id="{00000000-0008-0000-0000-00006616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238125</xdr:colOff>
      <xdr:row>34</xdr:row>
      <xdr:rowOff>0</xdr:rowOff>
    </xdr:from>
    <xdr:to>
      <xdr:col>24</xdr:col>
      <xdr:colOff>85724</xdr:colOff>
      <xdr:row>35</xdr:row>
      <xdr:rowOff>200024</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534275" y="6162675"/>
          <a:ext cx="847724"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en-GB" sz="1000" i="1">
              <a:latin typeface="Arial" pitchFamily="34" charset="0"/>
              <a:cs typeface="Arial" pitchFamily="34" charset="0"/>
            </a:rPr>
            <a:t>unfactored</a:t>
          </a:r>
        </a:p>
      </xdr:txBody>
    </xdr:sp>
    <xdr:clientData/>
  </xdr:twoCellAnchor>
  <xdr:twoCellAnchor>
    <xdr:from>
      <xdr:col>22</xdr:col>
      <xdr:colOff>238125</xdr:colOff>
      <xdr:row>36</xdr:row>
      <xdr:rowOff>0</xdr:rowOff>
    </xdr:from>
    <xdr:to>
      <xdr:col>24</xdr:col>
      <xdr:colOff>85724</xdr:colOff>
      <xdr:row>37</xdr:row>
      <xdr:rowOff>200024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534275" y="6562725"/>
          <a:ext cx="847724"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en-GB" sz="1000">
              <a:latin typeface="Arial" pitchFamily="34" charset="0"/>
              <a:cs typeface="Arial" pitchFamily="34" charset="0"/>
            </a:rPr>
            <a:t> </a:t>
          </a:r>
          <a:r>
            <a:rPr lang="en-GB" sz="1000" i="1">
              <a:latin typeface="Arial" pitchFamily="34" charset="0"/>
              <a:cs typeface="Arial" pitchFamily="34" charset="0"/>
            </a:rPr>
            <a:t> factored</a:t>
          </a:r>
        </a:p>
      </xdr:txBody>
    </xdr:sp>
    <xdr:clientData/>
  </xdr:twoCellAnchor>
  <mc:AlternateContent xmlns:mc="http://schemas.openxmlformats.org/markup-compatibility/2006">
    <mc:Choice xmlns:a14="http://schemas.microsoft.com/office/drawing/2010/main" Requires="a14">
      <xdr:twoCellAnchor>
        <xdr:from>
          <xdr:col>26</xdr:col>
          <xdr:colOff>28575</xdr:colOff>
          <xdr:row>3</xdr:row>
          <xdr:rowOff>19050</xdr:rowOff>
        </xdr:from>
        <xdr:to>
          <xdr:col>27</xdr:col>
          <xdr:colOff>266700</xdr:colOff>
          <xdr:row>4</xdr:row>
          <xdr:rowOff>142875</xdr:rowOff>
        </xdr:to>
        <xdr:sp macro="" textlink="">
          <xdr:nvSpPr>
            <xdr:cNvPr id="3127308" name="Button 12" hidden="1">
              <a:extLst>
                <a:ext uri="{63B3BB69-23CF-44E3-9099-C40C66FF867C}">
                  <a14:compatExt spid="_x0000_s3127308"/>
                </a:ext>
                <a:ext uri="{FF2B5EF4-FFF2-40B4-BE49-F238E27FC236}">
                  <a16:creationId xmlns:a16="http://schemas.microsoft.com/office/drawing/2014/main" id="{00000000-0008-0000-0000-00000CB82F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CE"/>
                  <a:cs typeface="Arial CE"/>
                </a:rPr>
                <a:t>Print Me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14</xdr:col>
          <xdr:colOff>0</xdr:colOff>
          <xdr:row>13</xdr:row>
          <xdr:rowOff>0</xdr:rowOff>
        </xdr:to>
        <xdr:sp macro="" textlink="">
          <xdr:nvSpPr>
            <xdr:cNvPr id="4068604" name="Check Box 1276" hidden="1">
              <a:extLst>
                <a:ext uri="{63B3BB69-23CF-44E3-9099-C40C66FF867C}">
                  <a14:compatExt spid="_x0000_s4068604"/>
                </a:ext>
                <a:ext uri="{FF2B5EF4-FFF2-40B4-BE49-F238E27FC236}">
                  <a16:creationId xmlns:a16="http://schemas.microsoft.com/office/drawing/2014/main" id="{00000000-0008-0000-0000-0000FC143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180975</xdr:rowOff>
        </xdr:from>
        <xdr:to>
          <xdr:col>6</xdr:col>
          <xdr:colOff>0</xdr:colOff>
          <xdr:row>17</xdr:row>
          <xdr:rowOff>0</xdr:rowOff>
        </xdr:to>
        <xdr:sp macro="" textlink="">
          <xdr:nvSpPr>
            <xdr:cNvPr id="4068661" name="Check Box 1333" hidden="1">
              <a:extLst>
                <a:ext uri="{63B3BB69-23CF-44E3-9099-C40C66FF867C}">
                  <a14:compatExt spid="_x0000_s4068661"/>
                </a:ext>
                <a:ext uri="{FF2B5EF4-FFF2-40B4-BE49-F238E27FC236}">
                  <a16:creationId xmlns:a16="http://schemas.microsoft.com/office/drawing/2014/main" id="{00000000-0008-0000-0000-000035153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0</xdr:rowOff>
        </xdr:from>
        <xdr:to>
          <xdr:col>27</xdr:col>
          <xdr:colOff>285750</xdr:colOff>
          <xdr:row>4</xdr:row>
          <xdr:rowOff>161925</xdr:rowOff>
        </xdr:to>
        <xdr:sp macro="" textlink="">
          <xdr:nvSpPr>
            <xdr:cNvPr id="4068669" name="Group Box 1341" hidden="1">
              <a:extLst>
                <a:ext uri="{63B3BB69-23CF-44E3-9099-C40C66FF867C}">
                  <a14:compatExt spid="_x0000_s4068669"/>
                </a:ext>
                <a:ext uri="{FF2B5EF4-FFF2-40B4-BE49-F238E27FC236}">
                  <a16:creationId xmlns:a16="http://schemas.microsoft.com/office/drawing/2014/main" id="{00000000-0008-0000-0000-00003D153E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104775</xdr:rowOff>
        </xdr:from>
        <xdr:to>
          <xdr:col>13</xdr:col>
          <xdr:colOff>76200</xdr:colOff>
          <xdr:row>8</xdr:row>
          <xdr:rowOff>161925</xdr:rowOff>
        </xdr:to>
        <xdr:sp macro="" textlink="">
          <xdr:nvSpPr>
            <xdr:cNvPr id="4068891" name="ComboBox1" hidden="1">
              <a:extLst>
                <a:ext uri="{63B3BB69-23CF-44E3-9099-C40C66FF867C}">
                  <a14:compatExt spid="_x0000_s4068891"/>
                </a:ext>
                <a:ext uri="{FF2B5EF4-FFF2-40B4-BE49-F238E27FC236}">
                  <a16:creationId xmlns:a16="http://schemas.microsoft.com/office/drawing/2014/main" id="{00000000-0008-0000-0000-00001B163E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editAs="oneCell">
    <xdr:from>
      <xdr:col>6</xdr:col>
      <xdr:colOff>38100</xdr:colOff>
      <xdr:row>14</xdr:row>
      <xdr:rowOff>0</xdr:rowOff>
    </xdr:from>
    <xdr:to>
      <xdr:col>6</xdr:col>
      <xdr:colOff>171451</xdr:colOff>
      <xdr:row>15</xdr:row>
      <xdr:rowOff>12889</xdr:rowOff>
    </xdr:to>
    <xdr:sp macro="[0]!HelpBox1" textlink="">
      <xdr:nvSpPr>
        <xdr:cNvPr id="14" name="TextBox 13">
          <a:extLst>
            <a:ext uri="{FF2B5EF4-FFF2-40B4-BE49-F238E27FC236}">
              <a16:creationId xmlns:a16="http://schemas.microsoft.com/office/drawing/2014/main" id="{00000000-0008-0000-0000-00000E000000}"/>
            </a:ext>
          </a:extLst>
        </xdr:cNvPr>
        <xdr:cNvSpPr txBox="1"/>
      </xdr:nvSpPr>
      <xdr:spPr>
        <a:xfrm>
          <a:off x="1895475" y="3181350"/>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6</xdr:col>
      <xdr:colOff>38100</xdr:colOff>
      <xdr:row>15</xdr:row>
      <xdr:rowOff>190500</xdr:rowOff>
    </xdr:from>
    <xdr:to>
      <xdr:col>6</xdr:col>
      <xdr:colOff>171451</xdr:colOff>
      <xdr:row>17</xdr:row>
      <xdr:rowOff>0</xdr:rowOff>
    </xdr:to>
    <xdr:sp macro="[0]!HelpBox2" textlink="">
      <xdr:nvSpPr>
        <xdr:cNvPr id="15" name="TextBox 14">
          <a:extLst>
            <a:ext uri="{FF2B5EF4-FFF2-40B4-BE49-F238E27FC236}">
              <a16:creationId xmlns:a16="http://schemas.microsoft.com/office/drawing/2014/main" id="{00000000-0008-0000-0000-00000F000000}"/>
            </a:ext>
          </a:extLst>
        </xdr:cNvPr>
        <xdr:cNvSpPr txBox="1"/>
      </xdr:nvSpPr>
      <xdr:spPr>
        <a:xfrm>
          <a:off x="1895475" y="3571875"/>
          <a:ext cx="133351"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oneCell">
    <xdr:from>
      <xdr:col>14</xdr:col>
      <xdr:colOff>38100</xdr:colOff>
      <xdr:row>7</xdr:row>
      <xdr:rowOff>85725</xdr:rowOff>
    </xdr:from>
    <xdr:to>
      <xdr:col>14</xdr:col>
      <xdr:colOff>171451</xdr:colOff>
      <xdr:row>8</xdr:row>
      <xdr:rowOff>98614</xdr:rowOff>
    </xdr:to>
    <xdr:sp macro="[0]!HelpBox3" textlink="">
      <xdr:nvSpPr>
        <xdr:cNvPr id="16" name="TextBox 15">
          <a:extLst>
            <a:ext uri="{FF2B5EF4-FFF2-40B4-BE49-F238E27FC236}">
              <a16:creationId xmlns:a16="http://schemas.microsoft.com/office/drawing/2014/main" id="{00000000-0008-0000-0000-000010000000}"/>
            </a:ext>
          </a:extLst>
        </xdr:cNvPr>
        <xdr:cNvSpPr txBox="1"/>
      </xdr:nvSpPr>
      <xdr:spPr>
        <a:xfrm>
          <a:off x="4219575" y="1866900"/>
          <a:ext cx="133351" cy="21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numCol="1" spcCol="0" rtlCol="0" anchor="ctr" anchorCtr="0"/>
        <a:lstStyle/>
        <a:p>
          <a:r>
            <a:rPr lang="pl-PL" sz="800">
              <a:solidFill>
                <a:srgbClr val="969696"/>
              </a:solidFill>
            </a:rPr>
            <a:t>(?)</a:t>
          </a:r>
          <a:endParaRPr lang="en-GB" sz="800">
            <a:solidFill>
              <a:srgbClr val="969696"/>
            </a:solidFill>
          </a:endParaRPr>
        </a:p>
      </xdr:txBody>
    </xdr:sp>
    <xdr:clientData fPrintsWithSheet="0"/>
  </xdr:twoCellAnchor>
  <xdr:twoCellAnchor editAs="absolute">
    <xdr:from>
      <xdr:col>26</xdr:col>
      <xdr:colOff>0</xdr:colOff>
      <xdr:row>12</xdr:row>
      <xdr:rowOff>0</xdr:rowOff>
    </xdr:from>
    <xdr:to>
      <xdr:col>39</xdr:col>
      <xdr:colOff>591608</xdr:colOff>
      <xdr:row>24</xdr:row>
      <xdr:rowOff>0</xdr:rowOff>
    </xdr:to>
    <xdr:sp macro="" textlink="">
      <xdr:nvSpPr>
        <xdr:cNvPr id="17" name="TextBox 16">
          <a:extLst>
            <a:ext uri="{FF2B5EF4-FFF2-40B4-BE49-F238E27FC236}">
              <a16:creationId xmlns:a16="http://schemas.microsoft.com/office/drawing/2014/main" id="{C285C9AB-458A-42CE-8192-82CAF5459BA6}"/>
            </a:ext>
          </a:extLst>
        </xdr:cNvPr>
        <xdr:cNvSpPr txBox="1"/>
      </xdr:nvSpPr>
      <xdr:spPr>
        <a:xfrm>
          <a:off x="8667750" y="2781300"/>
          <a:ext cx="2439458" cy="22002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FF0000"/>
              </a:solidFill>
              <a:latin typeface="+mn-lt"/>
              <a:ea typeface="+mn-ea"/>
              <a:cs typeface="+mn-cs"/>
            </a:rPr>
            <a:t>NOTE 1</a:t>
          </a:r>
          <a:r>
            <a:rPr lang="en-GB" sz="1100" b="1">
              <a:solidFill>
                <a:srgbClr val="0000CC"/>
              </a:solidFill>
              <a:latin typeface="+mn-lt"/>
              <a:ea typeface="+mn-ea"/>
              <a:cs typeface="+mn-cs"/>
            </a:rPr>
            <a:t>:</a:t>
          </a:r>
          <a:r>
            <a:rPr lang="en-GB" sz="1100" b="1">
              <a:solidFill>
                <a:srgbClr val="0000CC"/>
              </a:solidFill>
              <a:effectLst/>
              <a:latin typeface="+mn-lt"/>
              <a:ea typeface="+mn-ea"/>
              <a:cs typeface="+mn-cs"/>
            </a:rPr>
            <a:t> YOU HAVE TO ENABLE</a:t>
          </a:r>
          <a:r>
            <a:rPr lang="en-GB" sz="1100" b="1" baseline="0">
              <a:solidFill>
                <a:srgbClr val="0000CC"/>
              </a:solidFill>
              <a:effectLst/>
              <a:latin typeface="+mn-lt"/>
              <a:ea typeface="+mn-ea"/>
              <a:cs typeface="+mn-cs"/>
            </a:rPr>
            <a:t> MACROS TO BE ABLE TO CHANGE SECTION SIZE.</a:t>
          </a:r>
          <a:endParaRPr lang="en-GB">
            <a:solidFill>
              <a:srgbClr val="0000CC"/>
            </a:solidFill>
            <a:effectLst/>
          </a:endParaRPr>
        </a:p>
        <a:p>
          <a:endParaRPr lang="pl-PL" sz="1100" b="1">
            <a:solidFill>
              <a:srgbClr val="FF0000"/>
            </a:solidFill>
          </a:endParaRPr>
        </a:p>
        <a:p>
          <a:r>
            <a:rPr lang="en-GB" sz="1100" b="1">
              <a:solidFill>
                <a:srgbClr val="FF0000"/>
              </a:solidFill>
            </a:rPr>
            <a:t>NOTE</a:t>
          </a:r>
          <a:r>
            <a:rPr lang="pl-PL" sz="1100" b="1">
              <a:solidFill>
                <a:srgbClr val="FF0000"/>
              </a:solidFill>
            </a:rPr>
            <a:t>:</a:t>
          </a:r>
          <a:r>
            <a:rPr lang="en-GB" sz="1100" b="1">
              <a:solidFill>
                <a:srgbClr val="FF0000"/>
              </a:solidFill>
            </a:rPr>
            <a:t> </a:t>
          </a:r>
          <a:r>
            <a:rPr lang="en-GB" sz="1100">
              <a:solidFill>
                <a:schemeClr val="dk1"/>
              </a:solidFill>
              <a:effectLst/>
              <a:latin typeface="+mn-lt"/>
              <a:ea typeface="+mn-ea"/>
              <a:cs typeface="+mn-cs"/>
            </a:rPr>
            <a:t>In this </a:t>
          </a:r>
          <a:r>
            <a:rPr lang="pl-PL" sz="1100">
              <a:solidFill>
                <a:schemeClr val="dk1"/>
              </a:solidFill>
              <a:effectLst/>
              <a:latin typeface="+mn-lt"/>
              <a:ea typeface="+mn-ea"/>
              <a:cs typeface="+mn-cs"/>
            </a:rPr>
            <a:t>FREE L</a:t>
          </a:r>
          <a:r>
            <a:rPr lang="en-GB" sz="1100">
              <a:solidFill>
                <a:schemeClr val="dk1"/>
              </a:solidFill>
              <a:effectLst/>
              <a:latin typeface="+mn-lt"/>
              <a:ea typeface="+mn-ea"/>
              <a:cs typeface="+mn-cs"/>
            </a:rPr>
            <a:t>ite version you cannot change the company logo nor company information. Also, cells marked with this colour</a:t>
          </a:r>
          <a:r>
            <a:rPr lang="en-GB" sz="1100" baseline="0">
              <a:solidFill>
                <a:schemeClr val="dk1"/>
              </a:solidFill>
              <a:effectLst/>
              <a:latin typeface="+mn-lt"/>
              <a:ea typeface="+mn-ea"/>
              <a:cs typeface="+mn-cs"/>
            </a:rPr>
            <a:t> are locked</a:t>
          </a:r>
          <a:r>
            <a:rPr lang="pl-PL" sz="1100" baseline="0">
              <a:solidFill>
                <a:schemeClr val="dk1"/>
              </a:solidFill>
              <a:effectLst/>
              <a:latin typeface="+mn-lt"/>
              <a:ea typeface="+mn-ea"/>
              <a:cs typeface="+mn-cs"/>
            </a:rPr>
            <a:t>. </a:t>
          </a:r>
          <a:r>
            <a:rPr lang="en-GB" sz="1100" baseline="0">
              <a:solidFill>
                <a:schemeClr val="dk1"/>
              </a:solidFill>
              <a:effectLst/>
              <a:latin typeface="+mn-lt"/>
              <a:ea typeface="+mn-ea"/>
              <a:cs typeface="+mn-cs"/>
            </a:rPr>
            <a:t>To use these features you purchase </a:t>
          </a:r>
          <a:r>
            <a:rPr lang="pl-PL" sz="1100" baseline="0">
              <a:solidFill>
                <a:schemeClr val="dk1"/>
              </a:solidFill>
              <a:effectLst/>
              <a:latin typeface="+mn-lt"/>
              <a:ea typeface="+mn-ea"/>
              <a:cs typeface="+mn-cs"/>
            </a:rPr>
            <a:t>the</a:t>
          </a:r>
          <a:r>
            <a:rPr lang="en-GB" sz="1100" baseline="0">
              <a:solidFill>
                <a:schemeClr val="dk1"/>
              </a:solidFill>
              <a:effectLst/>
              <a:latin typeface="+mn-lt"/>
              <a:ea typeface="+mn-ea"/>
              <a:cs typeface="+mn-cs"/>
            </a:rPr>
            <a:t> full version of the spreadsheet.</a:t>
          </a:r>
          <a:endParaRPr lang="en-GB">
            <a:effectLst/>
          </a:endParaRPr>
        </a:p>
      </xdr:txBody>
    </xdr:sp>
    <xdr:clientData/>
  </xdr:twoCellAnchor>
  <xdr:twoCellAnchor editAs="absolute">
    <xdr:from>
      <xdr:col>26</xdr:col>
      <xdr:colOff>95250</xdr:colOff>
      <xdr:row>22</xdr:row>
      <xdr:rowOff>4233</xdr:rowOff>
    </xdr:from>
    <xdr:to>
      <xdr:col>27</xdr:col>
      <xdr:colOff>324758</xdr:colOff>
      <xdr:row>23</xdr:row>
      <xdr:rowOff>95250</xdr:rowOff>
    </xdr:to>
    <xdr:sp macro="" textlink="">
      <xdr:nvSpPr>
        <xdr:cNvPr id="18" name="Rectangle 17">
          <a:extLst>
            <a:ext uri="{FF2B5EF4-FFF2-40B4-BE49-F238E27FC236}">
              <a16:creationId xmlns:a16="http://schemas.microsoft.com/office/drawing/2014/main" id="{C137FB41-B710-4C9F-A28D-F3B4869A2CE4}"/>
            </a:ext>
          </a:extLst>
        </xdr:cNvPr>
        <xdr:cNvSpPr/>
      </xdr:nvSpPr>
      <xdr:spPr>
        <a:xfrm>
          <a:off x="8763000" y="4585758"/>
          <a:ext cx="743858" cy="291042"/>
        </a:xfrm>
        <a:prstGeom prst="rect">
          <a:avLst/>
        </a:prstGeom>
        <a:solidFill>
          <a:srgbClr val="CCFF33"/>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27</xdr:col>
      <xdr:colOff>410483</xdr:colOff>
      <xdr:row>22</xdr:row>
      <xdr:rowOff>23284</xdr:rowOff>
    </xdr:from>
    <xdr:to>
      <xdr:col>38</xdr:col>
      <xdr:colOff>498325</xdr:colOff>
      <xdr:row>23</xdr:row>
      <xdr:rowOff>76200</xdr:rowOff>
    </xdr:to>
    <xdr:sp macro="" textlink="">
      <xdr:nvSpPr>
        <xdr:cNvPr id="19" name="TextBox 18">
          <a:extLst>
            <a:ext uri="{FF2B5EF4-FFF2-40B4-BE49-F238E27FC236}">
              <a16:creationId xmlns:a16="http://schemas.microsoft.com/office/drawing/2014/main" id="{4CAEE716-6040-4F9A-8F54-FA11B8AC4A26}"/>
            </a:ext>
          </a:extLst>
        </xdr:cNvPr>
        <xdr:cNvSpPr txBox="1"/>
      </xdr:nvSpPr>
      <xdr:spPr>
        <a:xfrm>
          <a:off x="9592583" y="4604809"/>
          <a:ext cx="811742" cy="252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LOCKED</a:t>
          </a:r>
        </a:p>
      </xdr:txBody>
    </xdr:sp>
    <xdr:clientData/>
  </xdr:twoCellAnchor>
  <xdr:twoCellAnchor editAs="oneCell">
    <xdr:from>
      <xdr:col>2</xdr:col>
      <xdr:colOff>28575</xdr:colOff>
      <xdr:row>1</xdr:row>
      <xdr:rowOff>190500</xdr:rowOff>
    </xdr:from>
    <xdr:to>
      <xdr:col>3</xdr:col>
      <xdr:colOff>28575</xdr:colOff>
      <xdr:row>3</xdr:row>
      <xdr:rowOff>66675</xdr:rowOff>
    </xdr:to>
    <xdr:pic>
      <xdr:nvPicPr>
        <xdr:cNvPr id="20" name="Picture 6" descr="SE logo_small.jpg">
          <a:extLst>
            <a:ext uri="{FF2B5EF4-FFF2-40B4-BE49-F238E27FC236}">
              <a16:creationId xmlns:a16="http://schemas.microsoft.com/office/drawing/2014/main" id="{7B0A024E-0BC2-49EB-BC02-9F94155F129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2900" y="381000"/>
          <a:ext cx="609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yourspreadsheets.co.uk/checkout.html" TargetMode="External"/><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5">
    <pageSetUpPr autoPageBreaks="0"/>
  </sheetPr>
  <dimension ref="B1:AL72"/>
  <sheetViews>
    <sheetView showGridLines="0" zoomScaleNormal="100" zoomScaleSheetLayoutView="100" workbookViewId="0">
      <selection activeCell="D5" sqref="D5:P5"/>
    </sheetView>
  </sheetViews>
  <sheetFormatPr defaultRowHeight="12.75"/>
  <cols>
    <col min="1" max="1" width="2.5703125" style="10" customWidth="1"/>
    <col min="2" max="2" width="2" style="10" customWidth="1"/>
    <col min="3" max="3" width="9.140625" style="10"/>
    <col min="4" max="4" width="5.5703125" style="10" customWidth="1"/>
    <col min="5" max="6" width="4.28515625" style="10" customWidth="1"/>
    <col min="7" max="7" width="3.85546875" style="10" customWidth="1"/>
    <col min="8" max="10" width="4.28515625" style="10" customWidth="1"/>
    <col min="11" max="11" width="5.42578125" style="10" customWidth="1"/>
    <col min="12" max="12" width="5.140625" style="10" customWidth="1"/>
    <col min="13" max="13" width="4.42578125" style="10" customWidth="1"/>
    <col min="14" max="14" width="3.140625" style="10" customWidth="1"/>
    <col min="15" max="15" width="4" style="10" bestFit="1" customWidth="1"/>
    <col min="16" max="16" width="3.85546875" style="10" customWidth="1"/>
    <col min="17" max="17" width="4" style="10" bestFit="1" customWidth="1"/>
    <col min="18" max="18" width="9.140625" style="10"/>
    <col min="19" max="20" width="7.7109375" style="10" customWidth="1"/>
    <col min="21" max="22" width="5.140625" style="10" customWidth="1"/>
    <col min="23" max="23" width="8.42578125" style="15" customWidth="1"/>
    <col min="24" max="24" width="6.5703125" style="15" customWidth="1"/>
    <col min="25" max="25" width="2" style="15" customWidth="1"/>
    <col min="26" max="26" width="3.5703125" style="103" customWidth="1"/>
    <col min="27" max="27" width="7.7109375" style="103" customWidth="1"/>
    <col min="28" max="28" width="10.85546875" style="103" customWidth="1"/>
    <col min="29" max="29" width="4.140625" style="103" hidden="1" customWidth="1"/>
    <col min="30" max="38" width="9.140625" style="10" hidden="1" customWidth="1"/>
    <col min="39" max="39" width="9.140625" style="10" customWidth="1"/>
    <col min="40" max="16384" width="9.140625" style="10"/>
  </cols>
  <sheetData>
    <row r="1" spans="2:37" s="6" customFormat="1" ht="15" customHeight="1">
      <c r="B1" s="322" t="s">
        <v>383</v>
      </c>
      <c r="C1" s="322"/>
      <c r="D1" s="322"/>
      <c r="E1" s="322"/>
      <c r="F1" s="322"/>
      <c r="G1" s="322"/>
      <c r="H1" s="322"/>
      <c r="I1" s="322"/>
      <c r="J1" s="322"/>
      <c r="K1" s="322"/>
      <c r="L1" s="322"/>
      <c r="M1" s="322"/>
      <c r="N1" s="322"/>
      <c r="O1" s="322"/>
      <c r="P1" s="322"/>
      <c r="Q1" s="321" t="s">
        <v>346</v>
      </c>
      <c r="R1" s="321"/>
      <c r="S1" s="321"/>
      <c r="T1" s="321"/>
      <c r="U1" s="321"/>
      <c r="V1" s="321"/>
      <c r="W1" s="321"/>
      <c r="X1" s="321"/>
      <c r="Y1" s="321"/>
      <c r="Z1" s="86"/>
      <c r="AA1" s="87"/>
      <c r="AB1" s="87"/>
      <c r="AC1" s="87"/>
    </row>
    <row r="2" spans="2:37" s="6" customFormat="1" ht="29.25" customHeight="1">
      <c r="B2" s="376"/>
      <c r="C2" s="377"/>
      <c r="D2" s="378" t="s">
        <v>390</v>
      </c>
      <c r="E2" s="378"/>
      <c r="F2" s="378"/>
      <c r="G2" s="378"/>
      <c r="H2" s="378"/>
      <c r="I2" s="378"/>
      <c r="J2" s="378"/>
      <c r="K2" s="378"/>
      <c r="L2" s="378"/>
      <c r="M2" s="378"/>
      <c r="N2" s="378"/>
      <c r="O2" s="378"/>
      <c r="P2" s="379"/>
      <c r="Q2" s="380" t="s">
        <v>391</v>
      </c>
      <c r="R2" s="381"/>
      <c r="S2" s="381"/>
      <c r="T2" s="381"/>
      <c r="U2" s="382"/>
      <c r="V2" s="382"/>
      <c r="W2" s="383"/>
      <c r="X2" s="383"/>
      <c r="Y2" s="384"/>
      <c r="Z2" s="88"/>
      <c r="AA2" s="183"/>
      <c r="AB2" s="183"/>
      <c r="AC2" s="152"/>
      <c r="AG2" s="6">
        <v>123459</v>
      </c>
      <c r="AH2" s="6">
        <v>1</v>
      </c>
    </row>
    <row r="3" spans="2:37" s="6" customFormat="1" ht="19.5" customHeight="1">
      <c r="B3" s="385"/>
      <c r="C3" s="386"/>
      <c r="D3" s="387"/>
      <c r="E3" s="387"/>
      <c r="F3" s="387"/>
      <c r="G3" s="387"/>
      <c r="H3" s="387"/>
      <c r="I3" s="387"/>
      <c r="J3" s="387"/>
      <c r="K3" s="387"/>
      <c r="L3" s="387"/>
      <c r="M3" s="387"/>
      <c r="N3" s="387"/>
      <c r="O3" s="387"/>
      <c r="P3" s="388"/>
      <c r="Q3" s="389"/>
      <c r="R3" s="390"/>
      <c r="S3" s="390"/>
      <c r="T3" s="390"/>
      <c r="U3" s="391" t="s">
        <v>6</v>
      </c>
      <c r="V3" s="392"/>
      <c r="W3" s="393" t="s">
        <v>79</v>
      </c>
      <c r="X3" s="394"/>
      <c r="Y3" s="395"/>
      <c r="Z3" s="88"/>
      <c r="AA3" s="89"/>
      <c r="AB3" s="89"/>
      <c r="AC3" s="89"/>
      <c r="AG3" s="6">
        <v>123458</v>
      </c>
      <c r="AH3" s="6">
        <v>2</v>
      </c>
    </row>
    <row r="4" spans="2:37" s="6" customFormat="1" ht="20.100000000000001" customHeight="1">
      <c r="B4" s="396"/>
      <c r="C4" s="397"/>
      <c r="D4" s="398"/>
      <c r="E4" s="398"/>
      <c r="F4" s="398"/>
      <c r="G4" s="398"/>
      <c r="H4" s="398"/>
      <c r="I4" s="398"/>
      <c r="J4" s="398"/>
      <c r="K4" s="398"/>
      <c r="L4" s="398"/>
      <c r="M4" s="398"/>
      <c r="N4" s="398"/>
      <c r="O4" s="398"/>
      <c r="P4" s="399"/>
      <c r="Q4" s="391" t="s">
        <v>9</v>
      </c>
      <c r="R4" s="400"/>
      <c r="S4" s="401">
        <v>22190</v>
      </c>
      <c r="T4" s="402"/>
      <c r="U4" s="391" t="s">
        <v>7</v>
      </c>
      <c r="V4" s="392"/>
      <c r="W4" s="403">
        <v>1</v>
      </c>
      <c r="X4" s="404"/>
      <c r="Y4" s="405"/>
      <c r="Z4" s="88"/>
      <c r="AA4" s="89"/>
      <c r="AB4" s="89"/>
      <c r="AC4" s="89"/>
      <c r="AJ4" s="1"/>
      <c r="AK4" s="1"/>
    </row>
    <row r="5" spans="2:37" s="6" customFormat="1" ht="20.100000000000001" customHeight="1">
      <c r="B5" s="406"/>
      <c r="C5" s="407" t="s">
        <v>12</v>
      </c>
      <c r="D5" s="408" t="s">
        <v>392</v>
      </c>
      <c r="E5" s="409"/>
      <c r="F5" s="409"/>
      <c r="G5" s="409"/>
      <c r="H5" s="409"/>
      <c r="I5" s="409"/>
      <c r="J5" s="409"/>
      <c r="K5" s="409"/>
      <c r="L5" s="409"/>
      <c r="M5" s="409"/>
      <c r="N5" s="409"/>
      <c r="O5" s="409"/>
      <c r="P5" s="410"/>
      <c r="Q5" s="411" t="s">
        <v>11</v>
      </c>
      <c r="R5" s="400"/>
      <c r="S5" s="412" t="s">
        <v>333</v>
      </c>
      <c r="T5" s="413"/>
      <c r="U5" s="391" t="s">
        <v>8</v>
      </c>
      <c r="V5" s="392"/>
      <c r="W5" s="414">
        <f ca="1">TODAY()</f>
        <v>43703</v>
      </c>
      <c r="X5" s="415"/>
      <c r="Y5" s="416"/>
      <c r="Z5" s="90"/>
      <c r="AA5" s="90"/>
      <c r="AB5" s="90"/>
      <c r="AC5" s="90"/>
      <c r="AG5" s="65" t="s">
        <v>244</v>
      </c>
      <c r="AI5" s="1"/>
      <c r="AJ5" s="1"/>
      <c r="AK5" s="1"/>
    </row>
    <row r="6" spans="2:37" ht="21" customHeight="1">
      <c r="B6" s="7"/>
      <c r="C6" s="34"/>
      <c r="D6" s="8"/>
      <c r="E6" s="8"/>
      <c r="F6" s="8"/>
      <c r="G6" s="8"/>
      <c r="H6" s="8"/>
      <c r="I6" s="8"/>
      <c r="J6" s="8"/>
      <c r="K6" s="8"/>
      <c r="L6" s="8"/>
      <c r="M6" s="8"/>
      <c r="N6" s="8"/>
      <c r="O6" s="8"/>
      <c r="P6" s="8"/>
      <c r="Q6" s="8"/>
      <c r="R6" s="8"/>
      <c r="S6" s="8"/>
      <c r="T6" s="8"/>
      <c r="U6" s="8"/>
      <c r="V6" s="8"/>
      <c r="W6" s="9"/>
      <c r="X6" s="9"/>
      <c r="Y6" s="16"/>
      <c r="Z6" s="91"/>
      <c r="AA6" s="91"/>
      <c r="AB6" s="91"/>
      <c r="AC6" s="91"/>
      <c r="AE6" s="65" t="s">
        <v>207</v>
      </c>
      <c r="AF6" s="1" t="s">
        <v>208</v>
      </c>
      <c r="AG6" s="10">
        <f>IF(OR(tw&gt;100,Tf&gt;100),225,IF(OR(tw&gt;80,Tf&gt;80),235,IF(OR(tw&gt;63,Tf&gt;63),245,IF(OR(tw&gt;40,Tf&gt;40),255,IF(OR(tw&gt;16,Tf&gt;16),265,275)))))</f>
        <v>275</v>
      </c>
      <c r="AI6" s="1" t="s">
        <v>276</v>
      </c>
      <c r="AJ6" s="15">
        <f>(UDL1d*8+PUDL1d*3+PUDL2d*LePUDL2+PLa1d+PLb1d)-AK6</f>
        <v>19.414999999999999</v>
      </c>
      <c r="AK6" s="15">
        <f>(UDL1d*8^2/2+PUDL1d*3*(PosPUDL1+3/2)+PUDL2d*LePUDL2*(PosPUDL2+LePUDL2/2)+PLa1d*PosPLa1+PLb1d*PosPLb1)/8</f>
        <v>16.664999999999999</v>
      </c>
    </row>
    <row r="7" spans="2:37" ht="16.5" customHeight="1">
      <c r="B7" s="11"/>
      <c r="C7" s="227" t="s">
        <v>0</v>
      </c>
      <c r="D7" s="228"/>
      <c r="E7" s="228"/>
      <c r="F7" s="231"/>
      <c r="G7" s="35"/>
      <c r="H7" s="227" t="s">
        <v>214</v>
      </c>
      <c r="I7" s="228"/>
      <c r="J7" s="228"/>
      <c r="K7" s="228"/>
      <c r="L7" s="228"/>
      <c r="M7" s="228"/>
      <c r="N7" s="231"/>
      <c r="O7" s="113"/>
      <c r="P7" s="162"/>
      <c r="Q7" s="57"/>
      <c r="R7" s="243" t="s">
        <v>211</v>
      </c>
      <c r="S7" s="228"/>
      <c r="T7" s="228"/>
      <c r="U7" s="228"/>
      <c r="V7" s="228"/>
      <c r="W7" s="228"/>
      <c r="X7" s="231"/>
      <c r="Y7" s="17"/>
      <c r="Z7" s="92"/>
      <c r="AA7" s="276" t="s">
        <v>28</v>
      </c>
      <c r="AB7" s="277"/>
      <c r="AC7" s="93"/>
      <c r="AD7" s="1"/>
      <c r="AF7" s="1" t="s">
        <v>209</v>
      </c>
      <c r="AG7" s="10">
        <f>IF(OR(tw&gt;100,Tf&gt;100),295,IF(OR(tw&gt;80,Tf&gt;80),315,IF(OR(tw&gt;63,Tf&gt;63),325,IF(OR(tw&gt;40,Tf&gt;40),335,IF(OR(tw&gt;16,Tf&gt;16),345,355)))))</f>
        <v>355</v>
      </c>
      <c r="AJ7" s="15">
        <f>(2*8+PUDL1l*3+PUDL2l*LePUDL2+PLa1l+PLb1l)-AK7</f>
        <v>11.3125</v>
      </c>
      <c r="AK7" s="15">
        <f>(2*8^2/2+PUDL1l*3*(PosPUDL1+3/2)+PUDL2l*LePUDL2*(PosPUDL2+LePUDL2/2)+PLa1l*PosPLa1+PLb1l*PosPLb1)/8</f>
        <v>9.6875</v>
      </c>
    </row>
    <row r="8" spans="2:37" ht="15.95" customHeight="1">
      <c r="B8" s="11"/>
      <c r="C8" s="264" t="s">
        <v>206</v>
      </c>
      <c r="D8" s="265"/>
      <c r="E8" s="368" t="s">
        <v>210</v>
      </c>
      <c r="F8" s="369"/>
      <c r="G8" s="35"/>
      <c r="H8" s="122"/>
      <c r="I8" s="256" t="str">
        <f>IF(AF12&gt;155,"PFC",IF(AF12&gt;107,"UC","UB"))</f>
        <v>UB</v>
      </c>
      <c r="J8" s="256"/>
      <c r="K8" s="287"/>
      <c r="L8" s="287"/>
      <c r="M8" s="287"/>
      <c r="N8" s="288"/>
      <c r="O8" s="104"/>
      <c r="P8" s="159"/>
      <c r="Q8" s="157"/>
      <c r="R8" s="130" t="s">
        <v>226</v>
      </c>
      <c r="S8" s="167">
        <f>VLOOKUP(AF12,calculations!B92:Y262,4)</f>
        <v>355</v>
      </c>
      <c r="T8" s="156" t="s">
        <v>5</v>
      </c>
      <c r="U8" s="160"/>
      <c r="V8" s="160" t="s">
        <v>241</v>
      </c>
      <c r="W8" s="168">
        <f>VLOOKUP(AF12,calculations!B92:Y262,14)</f>
        <v>14.8</v>
      </c>
      <c r="X8" s="128" t="s">
        <v>223</v>
      </c>
      <c r="Y8" s="17"/>
      <c r="Z8" s="92"/>
      <c r="AA8" s="170">
        <f>I51</f>
        <v>0.82874366040227798</v>
      </c>
      <c r="AB8" s="94" t="s">
        <v>29</v>
      </c>
      <c r="AC8" s="95"/>
      <c r="AD8" s="1"/>
      <c r="AF8" s="1" t="s">
        <v>210</v>
      </c>
      <c r="AG8" s="10">
        <f>IF(OR(tw&gt;80,Tf&gt;80),400,IF(OR(tw&gt;63,Tf&gt;63),410,IF(OR(tw&gt;40,Tf&gt;40),430,IF(OR(tw&gt;16,Tf&gt;16),440,460))))</f>
        <v>460</v>
      </c>
    </row>
    <row r="9" spans="2:37" ht="15.95" customHeight="1">
      <c r="B9" s="11"/>
      <c r="C9" s="244" t="s">
        <v>334</v>
      </c>
      <c r="D9" s="245"/>
      <c r="E9" s="274">
        <f>AG10</f>
        <v>460</v>
      </c>
      <c r="F9" s="275"/>
      <c r="G9" s="35"/>
      <c r="H9" s="124"/>
      <c r="I9" s="257"/>
      <c r="J9" s="257"/>
      <c r="K9" s="289"/>
      <c r="L9" s="289"/>
      <c r="M9" s="289"/>
      <c r="N9" s="290"/>
      <c r="O9" s="104"/>
      <c r="P9" s="159"/>
      <c r="Q9" s="155"/>
      <c r="R9" s="112" t="s">
        <v>227</v>
      </c>
      <c r="S9" s="167">
        <f>VLOOKUP(AF12,calculations!B92:Y262,5)</f>
        <v>171.5</v>
      </c>
      <c r="T9" s="110" t="s">
        <v>5</v>
      </c>
      <c r="U9" s="109"/>
      <c r="V9" s="135" t="s">
        <v>240</v>
      </c>
      <c r="W9" s="168">
        <f>VLOOKUP(AF12,calculations!B92:Y262,15)</f>
        <v>3.86</v>
      </c>
      <c r="X9" s="128" t="s">
        <v>223</v>
      </c>
      <c r="Y9" s="17"/>
      <c r="Z9" s="92"/>
      <c r="AA9" s="171">
        <f>I57</f>
        <v>6.2450693191660737E-2</v>
      </c>
      <c r="AB9" s="96" t="s">
        <v>30</v>
      </c>
      <c r="AC9" s="95"/>
      <c r="AD9" s="1"/>
      <c r="AI9" s="1"/>
    </row>
    <row r="10" spans="2:37" ht="15.95" customHeight="1">
      <c r="B10" s="11"/>
      <c r="C10" s="266" t="s">
        <v>335</v>
      </c>
      <c r="D10" s="267"/>
      <c r="E10" s="237">
        <v>205</v>
      </c>
      <c r="F10" s="238"/>
      <c r="G10" s="35"/>
      <c r="H10" s="248" t="str">
        <f>"Classification: "&amp;IF(AL20=1,"plastic",IF(AL20=2,"compact",IF(AL20=3,"semi-compact","slender")))</f>
        <v>Classification: compact</v>
      </c>
      <c r="I10" s="249"/>
      <c r="J10" s="249"/>
      <c r="K10" s="249"/>
      <c r="L10" s="249"/>
      <c r="M10" s="249"/>
      <c r="N10" s="250"/>
      <c r="O10" s="114"/>
      <c r="P10" s="159"/>
      <c r="Q10" s="155"/>
      <c r="R10" s="112" t="s">
        <v>228</v>
      </c>
      <c r="S10" s="167">
        <f>VLOOKUP(AF12,calculations!B92:Y262,6)</f>
        <v>7.4</v>
      </c>
      <c r="T10" s="110" t="s">
        <v>5</v>
      </c>
      <c r="U10" s="109"/>
      <c r="V10" s="135" t="s">
        <v>234</v>
      </c>
      <c r="W10" s="169">
        <f>VLOOKUP(AF12,calculations!B92:Y262,12)</f>
        <v>14100</v>
      </c>
      <c r="X10" s="129" t="s">
        <v>224</v>
      </c>
      <c r="Y10" s="17"/>
      <c r="Z10" s="92"/>
      <c r="AA10" s="171">
        <f>I64</f>
        <v>0.2349</v>
      </c>
      <c r="AB10" s="96" t="s">
        <v>297</v>
      </c>
      <c r="AC10" s="95"/>
      <c r="AE10" s="65" t="s">
        <v>15</v>
      </c>
      <c r="AF10" s="178"/>
      <c r="AG10" s="10">
        <f>$AG$8</f>
        <v>460</v>
      </c>
    </row>
    <row r="11" spans="2:37" ht="15.95" customHeight="1">
      <c r="B11" s="11"/>
      <c r="C11" s="131"/>
      <c r="D11" s="131"/>
      <c r="E11" s="132"/>
      <c r="F11" s="132"/>
      <c r="G11" s="35"/>
      <c r="H11" s="24"/>
      <c r="I11" s="24"/>
      <c r="J11" s="24"/>
      <c r="K11" s="24"/>
      <c r="L11" s="24"/>
      <c r="M11" s="24"/>
      <c r="N11" s="104"/>
      <c r="O11" s="114"/>
      <c r="P11" s="159"/>
      <c r="Q11" s="155"/>
      <c r="R11" s="112" t="s">
        <v>229</v>
      </c>
      <c r="S11" s="167">
        <f>VLOOKUP(AF12,calculations!B92:Y262,7)</f>
        <v>11.5</v>
      </c>
      <c r="T11" s="110" t="s">
        <v>5</v>
      </c>
      <c r="U11" s="109"/>
      <c r="V11" s="135" t="s">
        <v>235</v>
      </c>
      <c r="W11" s="169">
        <f>VLOOKUP(AF12,calculations!B92:Y262,13)</f>
        <v>968</v>
      </c>
      <c r="X11" s="129" t="s">
        <v>224</v>
      </c>
      <c r="Y11" s="17"/>
      <c r="Z11" s="92"/>
      <c r="AA11" s="172">
        <f>I69</f>
        <v>0.56359999999999999</v>
      </c>
      <c r="AB11" s="97" t="s">
        <v>305</v>
      </c>
      <c r="AC11" s="98"/>
      <c r="AE11" s="65"/>
      <c r="AI11" s="1"/>
    </row>
    <row r="12" spans="2:37" ht="15.95" customHeight="1">
      <c r="B12" s="11"/>
      <c r="C12" s="246" t="s">
        <v>338</v>
      </c>
      <c r="D12" s="247"/>
      <c r="E12" s="370">
        <v>8</v>
      </c>
      <c r="F12" s="371"/>
      <c r="G12" s="24"/>
      <c r="H12" s="281" t="s">
        <v>336</v>
      </c>
      <c r="I12" s="243"/>
      <c r="J12" s="243"/>
      <c r="K12" s="243"/>
      <c r="L12" s="243"/>
      <c r="M12" s="126"/>
      <c r="N12" s="165"/>
      <c r="O12" s="114"/>
      <c r="P12" s="159"/>
      <c r="Q12" s="155"/>
      <c r="R12" s="112" t="s">
        <v>230</v>
      </c>
      <c r="S12" s="168">
        <f>VLOOKUP(AF12,calculations!B92:Y262,8)</f>
        <v>10.199999999999999</v>
      </c>
      <c r="T12" s="110" t="s">
        <v>5</v>
      </c>
      <c r="U12" s="109"/>
      <c r="V12" s="135" t="s">
        <v>236</v>
      </c>
      <c r="W12" s="168">
        <f>VLOOKUP(AF12,calculations!B92:Y262,16)</f>
        <v>796</v>
      </c>
      <c r="X12" s="129" t="s">
        <v>225</v>
      </c>
      <c r="Y12" s="17"/>
      <c r="Z12" s="92"/>
      <c r="AA12" s="98"/>
      <c r="AB12" s="98"/>
      <c r="AC12" s="98"/>
      <c r="AE12" s="65" t="s">
        <v>215</v>
      </c>
      <c r="AF12" s="173">
        <v>83</v>
      </c>
    </row>
    <row r="13" spans="2:37" ht="15.95" customHeight="1">
      <c r="B13" s="11"/>
      <c r="C13" s="248"/>
      <c r="D13" s="249"/>
      <c r="E13" s="372"/>
      <c r="F13" s="373"/>
      <c r="G13" s="24"/>
      <c r="H13" s="282"/>
      <c r="I13" s="283"/>
      <c r="J13" s="283"/>
      <c r="K13" s="283"/>
      <c r="L13" s="283"/>
      <c r="M13" s="125"/>
      <c r="N13" s="164"/>
      <c r="O13" s="114"/>
      <c r="P13" s="159"/>
      <c r="Q13" s="155"/>
      <c r="R13" s="112" t="s">
        <v>231</v>
      </c>
      <c r="S13" s="168">
        <f>VLOOKUP(AF12,calculations!B92:Y262,9)</f>
        <v>311.60000000000002</v>
      </c>
      <c r="T13" s="110" t="s">
        <v>5</v>
      </c>
      <c r="U13" s="111"/>
      <c r="V13" s="111" t="s">
        <v>237</v>
      </c>
      <c r="W13" s="168">
        <f>VLOOKUP(AF12,calculations!B92:Y262,17)</f>
        <v>113</v>
      </c>
      <c r="X13" s="129" t="s">
        <v>225</v>
      </c>
      <c r="Y13" s="17"/>
      <c r="Z13" s="92"/>
      <c r="AA13" s="98"/>
      <c r="AB13" s="98"/>
      <c r="AC13" s="98"/>
    </row>
    <row r="14" spans="2:37" ht="15.95" customHeight="1">
      <c r="B14" s="11"/>
      <c r="C14" s="24"/>
      <c r="D14" s="24"/>
      <c r="E14" s="24"/>
      <c r="F14" s="24"/>
      <c r="G14" s="116"/>
      <c r="H14" s="24"/>
      <c r="I14" s="24"/>
      <c r="J14" s="24"/>
      <c r="K14" s="24"/>
      <c r="L14" s="24"/>
      <c r="M14" s="24"/>
      <c r="N14" s="114"/>
      <c r="O14" s="114"/>
      <c r="P14" s="159"/>
      <c r="Q14" s="161"/>
      <c r="R14" s="112" t="s">
        <v>232</v>
      </c>
      <c r="S14" s="167">
        <f>VLOOKUP(AF12,calculations!B92:Y262,24)</f>
        <v>64.900000000000006</v>
      </c>
      <c r="T14" s="127" t="s">
        <v>345</v>
      </c>
      <c r="U14" s="109"/>
      <c r="V14" s="135" t="s">
        <v>238</v>
      </c>
      <c r="W14" s="168">
        <f>VLOOKUP(AF12,calculations!B92:Y262,18)</f>
        <v>896</v>
      </c>
      <c r="X14" s="129" t="s">
        <v>225</v>
      </c>
      <c r="Y14" s="18"/>
      <c r="Z14" s="99"/>
      <c r="AA14" s="98"/>
      <c r="AB14" s="98"/>
      <c r="AC14" s="98"/>
      <c r="AE14" s="65" t="s">
        <v>339</v>
      </c>
      <c r="AF14" s="166" t="b">
        <v>1</v>
      </c>
      <c r="AG14" s="10">
        <f>IF(AF14=TRUE,1,0.925)</f>
        <v>1</v>
      </c>
      <c r="AI14" s="1" t="s">
        <v>326</v>
      </c>
      <c r="AJ14" s="15">
        <f>3+IF(AG15=1,0.01*VLOOKUP(AF12,calculations!B92:Y262,3),0)</f>
        <v>3.51</v>
      </c>
    </row>
    <row r="15" spans="2:37" ht="15.95" customHeight="1">
      <c r="B15" s="11"/>
      <c r="C15" s="268" t="s">
        <v>220</v>
      </c>
      <c r="D15" s="269"/>
      <c r="E15" s="239">
        <v>6</v>
      </c>
      <c r="F15" s="240"/>
      <c r="G15" s="24"/>
      <c r="H15" s="251" t="s">
        <v>217</v>
      </c>
      <c r="I15" s="252"/>
      <c r="J15" s="252"/>
      <c r="K15" s="252"/>
      <c r="L15" s="252"/>
      <c r="M15" s="252"/>
      <c r="N15" s="253"/>
      <c r="O15" s="116"/>
      <c r="P15" s="159"/>
      <c r="Q15" s="142"/>
      <c r="R15" s="112" t="s">
        <v>233</v>
      </c>
      <c r="S15" s="167">
        <f>VLOOKUP(AF12,calculations!B92:Y262,3)</f>
        <v>51</v>
      </c>
      <c r="T15" s="179" t="s">
        <v>222</v>
      </c>
      <c r="U15" s="160"/>
      <c r="V15" s="160" t="s">
        <v>239</v>
      </c>
      <c r="W15" s="168">
        <f>VLOOKUP(AF12,calculations!B92:Y262,19)</f>
        <v>174</v>
      </c>
      <c r="X15" s="129" t="s">
        <v>225</v>
      </c>
      <c r="Y15" s="18"/>
      <c r="Z15" s="99"/>
      <c r="AA15" s="105"/>
      <c r="AB15" s="100"/>
      <c r="AC15" s="100"/>
      <c r="AE15" s="65" t="s">
        <v>221</v>
      </c>
      <c r="AF15" s="166" t="b">
        <v>1</v>
      </c>
      <c r="AG15" s="10">
        <f>IF(AF15=TRUE,1,0)</f>
        <v>1</v>
      </c>
    </row>
    <row r="16" spans="2:37" ht="15.95" customHeight="1">
      <c r="B16" s="11"/>
      <c r="C16" s="270"/>
      <c r="D16" s="271"/>
      <c r="E16" s="241"/>
      <c r="F16" s="242"/>
      <c r="G16" s="24"/>
      <c r="H16" s="163"/>
      <c r="I16" s="272" t="s">
        <v>218</v>
      </c>
      <c r="J16" s="272"/>
      <c r="K16" s="241">
        <v>1.6</v>
      </c>
      <c r="L16" s="241"/>
      <c r="M16" s="59"/>
      <c r="N16" s="158"/>
      <c r="O16" s="115"/>
      <c r="P16" s="180"/>
      <c r="Q16" s="181"/>
      <c r="R16" s="181"/>
      <c r="S16" s="181"/>
      <c r="T16" s="181"/>
      <c r="U16" s="181"/>
      <c r="V16" s="181"/>
      <c r="W16" s="182"/>
      <c r="X16" s="182"/>
      <c r="Y16" s="18"/>
      <c r="Z16" s="99"/>
      <c r="AA16" s="106"/>
      <c r="AB16" s="99"/>
      <c r="AC16" s="99"/>
      <c r="AH16" s="1">
        <v>1</v>
      </c>
      <c r="AI16" s="1">
        <v>2</v>
      </c>
      <c r="AJ16" s="1">
        <v>3</v>
      </c>
      <c r="AK16" s="10">
        <v>4</v>
      </c>
    </row>
    <row r="17" spans="2:38" ht="15.95" customHeight="1">
      <c r="B17" s="11"/>
      <c r="C17" s="220" t="s">
        <v>339</v>
      </c>
      <c r="D17" s="185"/>
      <c r="E17" s="184"/>
      <c r="F17" s="186"/>
      <c r="G17" s="24"/>
      <c r="H17" s="123"/>
      <c r="I17" s="273" t="s">
        <v>219</v>
      </c>
      <c r="J17" s="273"/>
      <c r="K17" s="255">
        <v>1.4</v>
      </c>
      <c r="L17" s="255"/>
      <c r="M17" s="60"/>
      <c r="N17" s="164"/>
      <c r="O17" s="115"/>
      <c r="P17" s="104"/>
      <c r="Q17" s="4"/>
      <c r="R17" s="4"/>
      <c r="S17" s="4"/>
      <c r="T17" s="4"/>
      <c r="U17" s="4"/>
      <c r="V17" s="4"/>
      <c r="W17" s="119"/>
      <c r="X17" s="119"/>
      <c r="Y17" s="18"/>
      <c r="Z17" s="99"/>
      <c r="AA17" s="106"/>
      <c r="AB17" s="99"/>
      <c r="AC17" s="99"/>
      <c r="AE17" s="65" t="s">
        <v>245</v>
      </c>
      <c r="AF17" s="134" t="s">
        <v>246</v>
      </c>
      <c r="AG17" s="15">
        <f>(275/fy)^0.5</f>
        <v>0.77319214103385825</v>
      </c>
      <c r="AH17" s="1" t="s">
        <v>249</v>
      </c>
      <c r="AI17" s="1" t="s">
        <v>250</v>
      </c>
      <c r="AJ17" s="1" t="s">
        <v>251</v>
      </c>
      <c r="AK17" s="1" t="s">
        <v>252</v>
      </c>
    </row>
    <row r="18" spans="2:38" ht="12.75" hidden="1" customHeight="1">
      <c r="B18" s="11"/>
      <c r="C18" s="117"/>
      <c r="D18" s="117"/>
      <c r="E18" s="117"/>
      <c r="F18" s="117"/>
      <c r="G18" s="117"/>
      <c r="H18" s="24"/>
      <c r="I18" s="24"/>
      <c r="J18" s="24"/>
      <c r="K18" s="24"/>
      <c r="L18" s="24"/>
      <c r="M18" s="24"/>
      <c r="N18" s="117"/>
      <c r="O18" s="118"/>
      <c r="P18" s="24"/>
      <c r="Q18" s="24"/>
      <c r="R18" s="24"/>
      <c r="S18" s="24"/>
      <c r="T18" s="24"/>
      <c r="U18" s="24"/>
      <c r="V18" s="24"/>
      <c r="W18" s="83"/>
      <c r="X18" s="119"/>
      <c r="Y18" s="18"/>
      <c r="Z18" s="99"/>
      <c r="AA18" s="106"/>
      <c r="AB18" s="99"/>
      <c r="AC18" s="99"/>
      <c r="AF18" s="65" t="s">
        <v>247</v>
      </c>
      <c r="AG18" s="15">
        <f>B/2/Tf</f>
        <v>7.4565217391304346</v>
      </c>
      <c r="AH18" s="10">
        <f>9*AG17</f>
        <v>6.9587292693047242</v>
      </c>
      <c r="AI18" s="10">
        <f>10*AG17</f>
        <v>7.7319214103385825</v>
      </c>
      <c r="AJ18" s="10">
        <f>15*AG17</f>
        <v>11.597882115507874</v>
      </c>
      <c r="AL18" s="10">
        <f>IF(AG18&gt;AJ18,4,IF(AG18&gt;AI18,3,IF(AG18&gt;AH18,2,1)))</f>
        <v>2</v>
      </c>
    </row>
    <row r="19" spans="2:38" ht="15.95" customHeight="1">
      <c r="B19" s="11"/>
      <c r="C19" s="24"/>
      <c r="D19" s="24"/>
      <c r="E19" s="24"/>
      <c r="F19" s="24"/>
      <c r="G19" s="24"/>
      <c r="H19" s="24"/>
      <c r="I19" s="24"/>
      <c r="J19" s="24"/>
      <c r="K19" s="24"/>
      <c r="L19" s="24"/>
      <c r="M19" s="24"/>
      <c r="N19" s="24"/>
      <c r="O19" s="116"/>
      <c r="P19" s="24"/>
      <c r="Q19" s="24"/>
      <c r="R19" s="24"/>
      <c r="S19" s="24"/>
      <c r="T19" s="24"/>
      <c r="U19" s="24"/>
      <c r="V19" s="24"/>
      <c r="W19" s="83"/>
      <c r="X19" s="83"/>
      <c r="Y19" s="18"/>
      <c r="Z19" s="99"/>
      <c r="AA19" s="101"/>
      <c r="AB19" s="99"/>
      <c r="AC19" s="99"/>
      <c r="AF19" s="65" t="s">
        <v>248</v>
      </c>
      <c r="AG19" s="15">
        <f>de/tw</f>
        <v>42.108108108108112</v>
      </c>
      <c r="AH19" s="10">
        <f>IF(I8="PFC",40,80)*AG17</f>
        <v>61.85537128270866</v>
      </c>
      <c r="AI19" s="10">
        <f>IF(I8="PFC",40,100)*AG17</f>
        <v>77.319214103385832</v>
      </c>
      <c r="AJ19" s="10">
        <f>IF(I8="PFC",40,120)*AG17</f>
        <v>92.78305692406299</v>
      </c>
      <c r="AK19" s="214"/>
      <c r="AL19" s="10">
        <f>IF(AG19&gt;AJ19,4,IF(AG19&gt;AI19,3,IF(AG19&gt;AH19,2,1)))</f>
        <v>1</v>
      </c>
    </row>
    <row r="20" spans="2:38" ht="15.95" customHeight="1">
      <c r="B20" s="11"/>
      <c r="C20" s="24"/>
      <c r="D20" s="24"/>
      <c r="E20" s="24"/>
      <c r="F20" s="24"/>
      <c r="G20" s="24"/>
      <c r="H20" s="24"/>
      <c r="I20" s="24"/>
      <c r="J20" s="24"/>
      <c r="K20" s="24"/>
      <c r="L20" s="24"/>
      <c r="M20" s="24"/>
      <c r="N20" s="24"/>
      <c r="O20" s="114"/>
      <c r="P20" s="24"/>
      <c r="Q20" s="24"/>
      <c r="R20" s="24"/>
      <c r="S20" s="24"/>
      <c r="T20" s="24"/>
      <c r="U20" s="24"/>
      <c r="V20" s="24"/>
      <c r="W20" s="83"/>
      <c r="X20" s="119"/>
      <c r="Y20" s="18"/>
      <c r="Z20" s="99"/>
      <c r="AA20" s="99"/>
      <c r="AB20" s="99"/>
      <c r="AC20" s="99"/>
      <c r="AF20" s="215" t="s">
        <v>247</v>
      </c>
      <c r="AG20" s="216" t="s">
        <v>350</v>
      </c>
      <c r="AK20" s="133" t="s">
        <v>15</v>
      </c>
      <c r="AL20" s="10">
        <f>MAX(AL18,AL19)</f>
        <v>2</v>
      </c>
    </row>
    <row r="21" spans="2:38" ht="15.95" customHeight="1">
      <c r="B21" s="11"/>
      <c r="C21" s="24"/>
      <c r="D21" s="24"/>
      <c r="E21" s="24"/>
      <c r="F21" s="24"/>
      <c r="G21" s="24"/>
      <c r="H21" s="24"/>
      <c r="I21" s="24"/>
      <c r="J21" s="24"/>
      <c r="K21" s="24"/>
      <c r="L21" s="24"/>
      <c r="M21" s="24"/>
      <c r="N21" s="24"/>
      <c r="O21" s="24"/>
      <c r="P21" s="24"/>
      <c r="Q21" s="24"/>
      <c r="R21" s="24"/>
      <c r="S21" s="24"/>
      <c r="T21" s="24"/>
      <c r="U21" s="24"/>
      <c r="V21" s="24"/>
      <c r="W21" s="83"/>
      <c r="X21" s="83"/>
      <c r="Y21" s="18"/>
      <c r="Z21" s="99"/>
      <c r="AA21" s="99"/>
      <c r="AB21" s="99"/>
      <c r="AC21" s="99"/>
      <c r="AE21" s="65" t="s">
        <v>255</v>
      </c>
      <c r="AF21" s="15">
        <f>AF60</f>
        <v>45.28</v>
      </c>
    </row>
    <row r="22" spans="2:38" ht="15.95" customHeight="1">
      <c r="B22" s="11"/>
      <c r="C22" s="227" t="s">
        <v>16</v>
      </c>
      <c r="D22" s="228"/>
      <c r="E22" s="228"/>
      <c r="F22" s="228"/>
      <c r="G22" s="228"/>
      <c r="H22" s="228"/>
      <c r="I22" s="228"/>
      <c r="J22" s="228"/>
      <c r="K22" s="228"/>
      <c r="L22" s="228"/>
      <c r="M22" s="228"/>
      <c r="N22" s="231"/>
      <c r="O22" s="117"/>
      <c r="P22" s="24"/>
      <c r="Q22" s="24"/>
      <c r="R22" s="24"/>
      <c r="S22" s="24"/>
      <c r="T22" s="24"/>
      <c r="U22" s="24"/>
      <c r="V22" s="24"/>
      <c r="W22" s="83"/>
      <c r="X22" s="120"/>
      <c r="Y22" s="18"/>
      <c r="Z22" s="99"/>
      <c r="AA22" s="99"/>
      <c r="AB22" s="99"/>
      <c r="AC22" s="99"/>
      <c r="AE22" s="65" t="s">
        <v>253</v>
      </c>
      <c r="AF22" s="15">
        <f>0.6*fy*tw*D/1000</f>
        <v>725.05200000000002</v>
      </c>
    </row>
    <row r="23" spans="2:38" ht="15.95" customHeight="1">
      <c r="B23" s="11"/>
      <c r="C23" s="40"/>
      <c r="D23" s="42"/>
      <c r="E23" s="254" t="s">
        <v>2</v>
      </c>
      <c r="F23" s="254"/>
      <c r="G23" s="254" t="s">
        <v>20</v>
      </c>
      <c r="H23" s="254"/>
      <c r="I23" s="41"/>
      <c r="J23" s="39"/>
      <c r="K23" s="262" t="s">
        <v>4</v>
      </c>
      <c r="L23" s="262"/>
      <c r="M23" s="258" t="s">
        <v>3</v>
      </c>
      <c r="N23" s="259"/>
      <c r="O23" s="117"/>
      <c r="P23" s="24"/>
      <c r="Q23" s="24"/>
      <c r="R23" s="24"/>
      <c r="S23" s="24"/>
      <c r="T23" s="24"/>
      <c r="U23" s="24"/>
      <c r="V23" s="24"/>
      <c r="W23" s="83"/>
      <c r="X23" s="121"/>
      <c r="Y23" s="18"/>
      <c r="Z23" s="99"/>
      <c r="AA23" s="99"/>
      <c r="AB23" s="99"/>
      <c r="AC23" s="99"/>
    </row>
    <row r="24" spans="2:38" ht="15.95" customHeight="1">
      <c r="B24" s="11"/>
      <c r="C24" s="221" t="s">
        <v>19</v>
      </c>
      <c r="D24" s="225"/>
      <c r="E24" s="374">
        <v>3</v>
      </c>
      <c r="F24" s="374"/>
      <c r="G24" s="374">
        <v>2</v>
      </c>
      <c r="H24" s="374"/>
      <c r="I24" s="232" t="s">
        <v>17</v>
      </c>
      <c r="J24" s="232"/>
      <c r="K24" s="263"/>
      <c r="L24" s="263"/>
      <c r="M24" s="260"/>
      <c r="N24" s="261"/>
      <c r="O24" s="117"/>
      <c r="P24" s="24"/>
      <c r="Q24" s="24"/>
      <c r="R24" s="24"/>
      <c r="S24" s="24"/>
      <c r="T24" s="24"/>
      <c r="U24" s="24"/>
      <c r="V24" s="24"/>
      <c r="W24" s="83"/>
      <c r="X24" s="121"/>
      <c r="Y24" s="18"/>
      <c r="Z24" s="99"/>
      <c r="AA24" s="99"/>
      <c r="AB24" s="99"/>
      <c r="AC24" s="99"/>
    </row>
    <row r="25" spans="2:38" ht="15.95" customHeight="1">
      <c r="B25" s="11"/>
      <c r="C25" s="221" t="s">
        <v>242</v>
      </c>
      <c r="D25" s="225"/>
      <c r="E25" s="224">
        <v>2</v>
      </c>
      <c r="F25" s="224"/>
      <c r="G25" s="224">
        <v>1</v>
      </c>
      <c r="H25" s="224"/>
      <c r="I25" s="232" t="s">
        <v>17</v>
      </c>
      <c r="J25" s="232"/>
      <c r="K25" s="188">
        <v>1</v>
      </c>
      <c r="L25" s="43" t="s">
        <v>18</v>
      </c>
      <c r="M25" s="375">
        <v>3</v>
      </c>
      <c r="N25" s="45" t="s">
        <v>18</v>
      </c>
      <c r="O25" s="116"/>
      <c r="P25" s="24"/>
      <c r="Q25" s="24"/>
      <c r="R25" s="24"/>
      <c r="S25" s="24"/>
      <c r="T25" s="24"/>
      <c r="U25" s="24"/>
      <c r="V25" s="24"/>
      <c r="W25" s="83"/>
      <c r="X25" s="121"/>
      <c r="Y25" s="18"/>
      <c r="Z25" s="99"/>
      <c r="AA25" s="99"/>
      <c r="AB25" s="99"/>
      <c r="AC25" s="99"/>
      <c r="AE25" s="65" t="s">
        <v>256</v>
      </c>
      <c r="AF25" s="15">
        <f>AF59</f>
        <v>92.03</v>
      </c>
    </row>
    <row r="26" spans="2:38" ht="15.95" customHeight="1">
      <c r="B26" s="11"/>
      <c r="C26" s="221" t="s">
        <v>243</v>
      </c>
      <c r="D26" s="222"/>
      <c r="E26" s="224"/>
      <c r="F26" s="224"/>
      <c r="G26" s="224"/>
      <c r="H26" s="224"/>
      <c r="I26" s="232" t="s">
        <v>17</v>
      </c>
      <c r="J26" s="232"/>
      <c r="K26" s="188"/>
      <c r="L26" s="110" t="s">
        <v>18</v>
      </c>
      <c r="M26" s="188"/>
      <c r="N26" s="45" t="s">
        <v>18</v>
      </c>
      <c r="O26" s="116"/>
      <c r="P26" s="24"/>
      <c r="Q26" s="24"/>
      <c r="R26" s="24"/>
      <c r="S26" s="24"/>
      <c r="T26" s="24"/>
      <c r="U26" s="24"/>
      <c r="V26" s="24"/>
      <c r="W26" s="83"/>
      <c r="X26" s="121"/>
      <c r="Y26" s="18"/>
      <c r="Z26" s="99"/>
      <c r="AA26" s="99"/>
      <c r="AB26" s="99"/>
      <c r="AC26" s="99"/>
      <c r="AF26" s="10">
        <v>1</v>
      </c>
      <c r="AG26" s="10">
        <v>2</v>
      </c>
      <c r="AH26" s="10">
        <v>3</v>
      </c>
      <c r="AI26" s="10">
        <v>4</v>
      </c>
    </row>
    <row r="27" spans="2:38" ht="15.95" customHeight="1">
      <c r="B27" s="11"/>
      <c r="C27" s="221" t="s">
        <v>212</v>
      </c>
      <c r="D27" s="225"/>
      <c r="E27" s="224">
        <v>2</v>
      </c>
      <c r="F27" s="224"/>
      <c r="G27" s="224">
        <v>2</v>
      </c>
      <c r="H27" s="224"/>
      <c r="I27" s="232" t="s">
        <v>1</v>
      </c>
      <c r="J27" s="232"/>
      <c r="K27" s="188">
        <v>3</v>
      </c>
      <c r="L27" s="43" t="s">
        <v>18</v>
      </c>
      <c r="M27" s="278" t="s">
        <v>10</v>
      </c>
      <c r="N27" s="279"/>
      <c r="O27" s="4"/>
      <c r="P27" s="24"/>
      <c r="Q27" s="24"/>
      <c r="R27" s="24"/>
      <c r="S27" s="24"/>
      <c r="T27" s="24"/>
      <c r="U27" s="24"/>
      <c r="V27" s="24"/>
      <c r="W27" s="83"/>
      <c r="X27" s="120"/>
      <c r="Y27" s="18"/>
      <c r="Z27" s="99"/>
      <c r="AA27" s="99"/>
      <c r="AB27" s="99"/>
      <c r="AC27" s="99"/>
      <c r="AE27" s="65" t="s">
        <v>254</v>
      </c>
      <c r="AF27" s="1" t="s">
        <v>249</v>
      </c>
      <c r="AG27" s="1" t="s">
        <v>250</v>
      </c>
      <c r="AH27" s="1" t="s">
        <v>251</v>
      </c>
      <c r="AI27" s="1" t="s">
        <v>252</v>
      </c>
    </row>
    <row r="28" spans="2:38" ht="15.95" customHeight="1">
      <c r="B28" s="11"/>
      <c r="C28" s="235" t="s">
        <v>213</v>
      </c>
      <c r="D28" s="236"/>
      <c r="E28" s="233"/>
      <c r="F28" s="233"/>
      <c r="G28" s="233"/>
      <c r="H28" s="233"/>
      <c r="I28" s="280" t="s">
        <v>1</v>
      </c>
      <c r="J28" s="280"/>
      <c r="K28" s="189"/>
      <c r="L28" s="44" t="s">
        <v>18</v>
      </c>
      <c r="M28" s="229" t="s">
        <v>10</v>
      </c>
      <c r="N28" s="230"/>
      <c r="O28" s="4"/>
      <c r="P28" s="4"/>
      <c r="Q28" s="4"/>
      <c r="R28" s="4"/>
      <c r="S28" s="4"/>
      <c r="T28" s="4"/>
      <c r="U28" s="5"/>
      <c r="V28" s="5"/>
      <c r="W28" s="37"/>
      <c r="X28" s="37"/>
      <c r="Y28" s="18"/>
      <c r="Z28" s="99"/>
      <c r="AA28" s="99"/>
      <c r="AB28" s="99"/>
      <c r="AC28" s="99"/>
      <c r="AE28" s="1" t="s">
        <v>257</v>
      </c>
      <c r="AF28" s="15">
        <f>IF(AF21&lt;(AF22*0.6),fy*Sx/1000,"")</f>
        <v>412.16</v>
      </c>
      <c r="AG28" s="15">
        <f>AF28</f>
        <v>412.16</v>
      </c>
      <c r="AH28" s="15">
        <f>IF(AF21&lt;(AF22*0.6),fy*Zx/1000,"")</f>
        <v>366.16</v>
      </c>
      <c r="AI28" s="213" t="s">
        <v>349</v>
      </c>
      <c r="AJ28" s="15">
        <f>HLOOKUP(AL20,AF26:AI29,3)</f>
        <v>412.16</v>
      </c>
    </row>
    <row r="29" spans="2:38" ht="15.95" customHeight="1">
      <c r="B29" s="11"/>
      <c r="C29" s="24"/>
      <c r="D29" s="24"/>
      <c r="E29" s="24"/>
      <c r="F29" s="24"/>
      <c r="G29" s="24"/>
      <c r="H29" s="24"/>
      <c r="I29" s="24"/>
      <c r="J29" s="24"/>
      <c r="K29" s="24"/>
      <c r="L29" s="24"/>
      <c r="M29" s="24"/>
      <c r="N29" s="24"/>
      <c r="O29" s="4"/>
      <c r="P29" s="24"/>
      <c r="Q29" s="24"/>
      <c r="R29" s="24"/>
      <c r="S29" s="24"/>
      <c r="T29" s="24"/>
      <c r="U29" s="24"/>
      <c r="V29" s="24"/>
      <c r="W29" s="83"/>
      <c r="X29" s="83"/>
      <c r="Y29" s="18"/>
      <c r="Z29" s="99"/>
      <c r="AA29" s="99"/>
      <c r="AB29" s="99"/>
      <c r="AC29" s="99"/>
      <c r="AE29" s="1" t="s">
        <v>258</v>
      </c>
      <c r="AF29" s="217" t="str">
        <f>IF(AF21&gt;(AF22*0.6),fy*(Sx-AF30*tw*D^2/4000)/1000,"")</f>
        <v/>
      </c>
      <c r="AG29" s="217" t="str">
        <f>AF29</f>
        <v/>
      </c>
      <c r="AH29" s="217" t="str">
        <f>IF(AF21&gt;(AF22*0.6),fy*(Zx-AF30*tw*D^2/4000/1.5)/1000,"")</f>
        <v/>
      </c>
      <c r="AI29" s="213" t="s">
        <v>349</v>
      </c>
      <c r="AJ29" s="217" t="str">
        <f>HLOOKUP(AL20,AF26:AI29,4)</f>
        <v/>
      </c>
    </row>
    <row r="30" spans="2:38" ht="15.75" hidden="1" customHeight="1">
      <c r="B30" s="11"/>
      <c r="C30" s="24"/>
      <c r="D30" s="24"/>
      <c r="E30" s="24"/>
      <c r="F30" s="24"/>
      <c r="G30" s="24"/>
      <c r="H30" s="24"/>
      <c r="I30" s="24"/>
      <c r="J30" s="24"/>
      <c r="K30" s="24"/>
      <c r="L30" s="24"/>
      <c r="M30" s="24"/>
      <c r="N30" s="24"/>
      <c r="O30" s="4"/>
      <c r="P30" s="24"/>
      <c r="Q30" s="24"/>
      <c r="R30" s="24"/>
      <c r="S30" s="24"/>
      <c r="T30" s="24"/>
      <c r="U30" s="24"/>
      <c r="V30" s="24"/>
      <c r="W30" s="24"/>
      <c r="X30" s="24"/>
      <c r="Y30" s="18"/>
      <c r="Z30" s="99"/>
      <c r="AA30" s="99"/>
      <c r="AB30" s="99"/>
      <c r="AC30" s="99"/>
      <c r="AE30" s="134" t="s">
        <v>259</v>
      </c>
      <c r="AF30" s="218" t="str">
        <f>IF(AF21&lt;0.6*AF22,"",IF(((2*AF21/AF22)-1)^2&gt;1,1,((2*AF21/AF22)-1)^2))</f>
        <v/>
      </c>
      <c r="AI30" s="65" t="s">
        <v>260</v>
      </c>
      <c r="AJ30" s="10">
        <f>1.2*fy*Zx/1000</f>
        <v>439.392</v>
      </c>
    </row>
    <row r="31" spans="2:38" ht="15.95" hidden="1" customHeight="1">
      <c r="B31" s="11"/>
      <c r="C31" s="24"/>
      <c r="D31" s="24"/>
      <c r="E31" s="24"/>
      <c r="F31" s="24"/>
      <c r="G31" s="24"/>
      <c r="H31" s="24"/>
      <c r="I31" s="24"/>
      <c r="J31" s="24"/>
      <c r="K31" s="24"/>
      <c r="L31" s="24"/>
      <c r="M31" s="24"/>
      <c r="N31" s="24"/>
      <c r="O31" s="4"/>
      <c r="P31" s="24"/>
      <c r="Q31" s="24"/>
      <c r="R31" s="24"/>
      <c r="S31" s="24"/>
      <c r="T31" s="24"/>
      <c r="U31" s="24"/>
      <c r="V31" s="24"/>
      <c r="W31" s="24"/>
      <c r="X31" s="24"/>
      <c r="Y31" s="18"/>
      <c r="Z31" s="99"/>
      <c r="AA31" s="99"/>
      <c r="AB31" s="99"/>
      <c r="AC31" s="99"/>
      <c r="AI31" s="65" t="s">
        <v>261</v>
      </c>
      <c r="AJ31" s="15">
        <f>MIN(AJ30,AJ28:AJ29)</f>
        <v>412.16</v>
      </c>
    </row>
    <row r="32" spans="2:38" ht="15.95" customHeight="1">
      <c r="B32" s="11"/>
      <c r="C32" s="24"/>
      <c r="D32" s="24"/>
      <c r="E32" s="24"/>
      <c r="F32" s="24"/>
      <c r="G32" s="24"/>
      <c r="H32" s="24"/>
      <c r="I32" s="24"/>
      <c r="J32" s="24"/>
      <c r="K32" s="24"/>
      <c r="L32" s="24"/>
      <c r="M32" s="24"/>
      <c r="N32" s="24"/>
      <c r="O32" s="24"/>
      <c r="P32" s="24"/>
      <c r="Q32" s="24"/>
      <c r="R32" s="24"/>
      <c r="S32" s="24"/>
      <c r="T32" s="24"/>
      <c r="U32" s="24"/>
      <c r="V32" s="24"/>
      <c r="W32" s="83"/>
      <c r="X32" s="83"/>
      <c r="Y32" s="18"/>
      <c r="Z32" s="99"/>
      <c r="AA32" s="99"/>
      <c r="AB32" s="99"/>
      <c r="AC32" s="99"/>
      <c r="AI32" s="65"/>
      <c r="AJ32" s="15"/>
    </row>
    <row r="33" spans="2:33" ht="15.95" customHeight="1">
      <c r="B33" s="11"/>
      <c r="C33" s="24"/>
      <c r="D33" s="24"/>
      <c r="E33" s="24"/>
      <c r="F33" s="24"/>
      <c r="G33" s="24"/>
      <c r="H33" s="24"/>
      <c r="I33" s="24"/>
      <c r="J33" s="24"/>
      <c r="K33" s="24"/>
      <c r="L33" s="24"/>
      <c r="M33" s="24"/>
      <c r="N33" s="24"/>
      <c r="O33" s="24"/>
      <c r="P33" s="24"/>
      <c r="Q33" s="24"/>
      <c r="R33" s="24"/>
      <c r="S33" s="24"/>
      <c r="T33" s="24"/>
      <c r="U33" s="24"/>
      <c r="V33" s="24"/>
      <c r="W33" s="83"/>
      <c r="X33" s="83"/>
      <c r="Y33" s="18"/>
      <c r="Z33" s="99"/>
      <c r="AA33" s="99"/>
      <c r="AB33" s="99"/>
      <c r="AC33" s="99"/>
    </row>
    <row r="34" spans="2:33" ht="15.95" customHeight="1">
      <c r="B34" s="11"/>
      <c r="C34" s="227" t="s">
        <v>33</v>
      </c>
      <c r="D34" s="228"/>
      <c r="E34" s="228"/>
      <c r="F34" s="228"/>
      <c r="G34" s="228"/>
      <c r="H34" s="228"/>
      <c r="I34" s="228"/>
      <c r="J34" s="228"/>
      <c r="K34" s="228"/>
      <c r="L34" s="228"/>
      <c r="M34" s="228"/>
      <c r="N34" s="231"/>
      <c r="O34" s="4"/>
      <c r="P34" s="227" t="s">
        <v>341</v>
      </c>
      <c r="Q34" s="228"/>
      <c r="R34" s="228"/>
      <c r="S34" s="207" t="s">
        <v>2</v>
      </c>
      <c r="T34" s="203" t="s">
        <v>20</v>
      </c>
      <c r="U34" s="226" t="s">
        <v>35</v>
      </c>
      <c r="V34" s="226"/>
      <c r="W34" s="201"/>
      <c r="X34" s="202"/>
      <c r="Y34" s="18"/>
      <c r="Z34" s="99"/>
      <c r="AA34" s="99"/>
      <c r="AB34" s="99"/>
      <c r="AC34" s="99"/>
    </row>
    <row r="35" spans="2:33" ht="15.95" customHeight="1">
      <c r="B35" s="11"/>
      <c r="C35" s="221" t="s">
        <v>58</v>
      </c>
      <c r="D35" s="225"/>
      <c r="E35" s="225"/>
      <c r="F35" s="225"/>
      <c r="G35" s="234" t="str">
        <f>ROUND(AF59,2)&amp;" kNm"</f>
        <v>92.03 kNm</v>
      </c>
      <c r="H35" s="234"/>
      <c r="I35" s="234"/>
      <c r="J35" s="286" t="str">
        <f>IF(AF59&gt;I50,"&gt; "&amp;ROUND(I50,2),"&lt; "&amp;ROUND(I50,2))&amp;" kNm"</f>
        <v>&lt; 111.05 kNm</v>
      </c>
      <c r="K35" s="286"/>
      <c r="L35" s="286"/>
      <c r="M35" s="291" t="str">
        <f>IF(I50&gt;AF59,"OK","NOT OK")</f>
        <v>OK</v>
      </c>
      <c r="N35" s="292"/>
      <c r="O35" s="4"/>
      <c r="P35" s="244" t="s">
        <v>31</v>
      </c>
      <c r="Q35" s="245"/>
      <c r="R35" s="245"/>
      <c r="S35" s="204">
        <f>RL1d</f>
        <v>19.414999999999999</v>
      </c>
      <c r="T35" s="193">
        <f>RL1l</f>
        <v>11.3125</v>
      </c>
      <c r="U35" s="299">
        <f>S35+T35</f>
        <v>30.727499999999999</v>
      </c>
      <c r="V35" s="299"/>
      <c r="W35" s="194" t="s">
        <v>1</v>
      </c>
      <c r="X35" s="208"/>
      <c r="Y35" s="18"/>
      <c r="Z35" s="99"/>
      <c r="AA35" s="99"/>
      <c r="AB35" s="99"/>
      <c r="AC35" s="99"/>
      <c r="AE35" s="1" t="s">
        <v>262</v>
      </c>
    </row>
    <row r="36" spans="2:33" ht="15.95" customHeight="1">
      <c r="B36" s="11"/>
      <c r="C36" s="221" t="s">
        <v>59</v>
      </c>
      <c r="D36" s="225"/>
      <c r="E36" s="225"/>
      <c r="F36" s="225"/>
      <c r="G36" s="234" t="str">
        <f>AF60&amp;" kN"</f>
        <v>45.28 kN</v>
      </c>
      <c r="H36" s="234"/>
      <c r="I36" s="234"/>
      <c r="J36" s="298" t="str">
        <f>IF(AF60&gt;AF22,"&gt; "&amp;ROUND(AF22,2),"&lt; "&amp;ROUND(AF22,2))&amp;" kN"</f>
        <v>&lt; 725.05 kN</v>
      </c>
      <c r="K36" s="298"/>
      <c r="L36" s="298"/>
      <c r="M36" s="292" t="str">
        <f>IF(AF22&gt;AF21,"OK","NOT OK")</f>
        <v>OK</v>
      </c>
      <c r="N36" s="292"/>
      <c r="O36" s="4"/>
      <c r="P36" s="293" t="s">
        <v>32</v>
      </c>
      <c r="Q36" s="294"/>
      <c r="R36" s="294"/>
      <c r="S36" s="205">
        <f>RR1d</f>
        <v>16.664999999999999</v>
      </c>
      <c r="T36" s="195">
        <f>RR1l</f>
        <v>9.6875</v>
      </c>
      <c r="U36" s="295">
        <f>S36+T36</f>
        <v>26.352499999999999</v>
      </c>
      <c r="V36" s="295"/>
      <c r="W36" s="196" t="s">
        <v>1</v>
      </c>
      <c r="X36" s="197"/>
      <c r="Y36" s="18"/>
      <c r="Z36" s="99"/>
      <c r="AA36" s="99"/>
      <c r="AB36" s="99"/>
      <c r="AC36" s="99"/>
    </row>
    <row r="37" spans="2:33" ht="16.5" customHeight="1">
      <c r="B37" s="11"/>
      <c r="C37" s="221" t="s">
        <v>287</v>
      </c>
      <c r="D37" s="225"/>
      <c r="E37" s="225"/>
      <c r="F37" s="225"/>
      <c r="G37" s="234" t="str">
        <f>AF61&amp;" mm"</f>
        <v>5.22 mm</v>
      </c>
      <c r="H37" s="234"/>
      <c r="I37" s="234"/>
      <c r="J37" s="286" t="str">
        <f>IF(AF61&gt;I63,"&gt; "&amp;ROUND(I63,2),"&lt; "&amp;ROUND(I63,2))&amp;" mm"</f>
        <v>&lt; 22.22 mm</v>
      </c>
      <c r="K37" s="286"/>
      <c r="L37" s="286"/>
      <c r="M37" s="292" t="str">
        <f>IF(AF61&lt;I63,"OK","NOT OK")</f>
        <v>OK</v>
      </c>
      <c r="N37" s="292"/>
      <c r="O37" s="24"/>
      <c r="P37" s="244" t="s">
        <v>31</v>
      </c>
      <c r="Q37" s="245"/>
      <c r="R37" s="245"/>
      <c r="S37" s="204">
        <f>RL1d*K17</f>
        <v>27.180999999999997</v>
      </c>
      <c r="T37" s="193">
        <f>RL1l*K16</f>
        <v>18.100000000000001</v>
      </c>
      <c r="U37" s="299">
        <f>S37+T37</f>
        <v>45.280999999999999</v>
      </c>
      <c r="V37" s="299"/>
      <c r="W37" s="194" t="s">
        <v>1</v>
      </c>
      <c r="X37" s="209"/>
      <c r="Y37" s="18"/>
      <c r="Z37" s="99"/>
      <c r="AA37" s="99"/>
      <c r="AB37" s="99"/>
      <c r="AC37" s="99"/>
      <c r="AE37" s="1" t="s">
        <v>263</v>
      </c>
    </row>
    <row r="38" spans="2:33" ht="15.95" customHeight="1">
      <c r="B38" s="11"/>
      <c r="C38" s="235" t="s">
        <v>288</v>
      </c>
      <c r="D38" s="236"/>
      <c r="E38" s="236"/>
      <c r="F38" s="236"/>
      <c r="G38" s="223" t="str">
        <f>AF62&amp;" mm"</f>
        <v>14.09 mm</v>
      </c>
      <c r="H38" s="223"/>
      <c r="I38" s="223"/>
      <c r="J38" s="300" t="str">
        <f>IF(AF62&gt;I68,"&gt; "&amp;ROUND(I68,2),"&lt; "&amp;ROUND(I68,2))&amp;" mm"</f>
        <v>&lt; 25 mm</v>
      </c>
      <c r="K38" s="300"/>
      <c r="L38" s="300"/>
      <c r="M38" s="284" t="str">
        <f>IF(AF62&lt;I68,"OK","NOT OK")</f>
        <v>OK</v>
      </c>
      <c r="N38" s="285"/>
      <c r="O38" s="4"/>
      <c r="P38" s="296" t="s">
        <v>32</v>
      </c>
      <c r="Q38" s="297"/>
      <c r="R38" s="297"/>
      <c r="S38" s="206">
        <f>RR1d*K17</f>
        <v>23.330999999999996</v>
      </c>
      <c r="T38" s="198">
        <f>RR1l*K16</f>
        <v>15.5</v>
      </c>
      <c r="U38" s="307">
        <f>S38+T38</f>
        <v>38.830999999999996</v>
      </c>
      <c r="V38" s="307"/>
      <c r="W38" s="199" t="s">
        <v>1</v>
      </c>
      <c r="X38" s="200"/>
      <c r="Y38" s="18"/>
      <c r="Z38" s="99"/>
      <c r="AA38" s="99"/>
      <c r="AB38" s="99"/>
      <c r="AC38" s="99"/>
      <c r="AE38" s="1" t="s">
        <v>78</v>
      </c>
      <c r="AF38" s="15">
        <f>VLOOKUP(AF12,calculations!B92:Y262,23)</f>
        <v>23.8</v>
      </c>
      <c r="AG38" s="214" t="s">
        <v>353</v>
      </c>
    </row>
    <row r="39" spans="2:33" ht="15.95" customHeight="1">
      <c r="B39" s="11"/>
      <c r="C39" s="24"/>
      <c r="D39" s="24"/>
      <c r="E39" s="24"/>
      <c r="F39" s="24"/>
      <c r="G39" s="24"/>
      <c r="H39" s="24"/>
      <c r="I39" s="24"/>
      <c r="J39" s="24"/>
      <c r="K39" s="24"/>
      <c r="L39" s="24"/>
      <c r="M39" s="24"/>
      <c r="N39" s="24"/>
      <c r="O39" s="24"/>
      <c r="P39" s="24"/>
      <c r="Q39" s="24"/>
      <c r="R39" s="24"/>
      <c r="S39" s="24"/>
      <c r="T39" s="24"/>
      <c r="U39" s="24"/>
      <c r="V39" s="24"/>
      <c r="W39" s="83"/>
      <c r="X39" s="83"/>
      <c r="Y39" s="18"/>
      <c r="Z39" s="99"/>
      <c r="AA39" s="99"/>
      <c r="AB39" s="99"/>
      <c r="AC39" s="99"/>
      <c r="AE39" s="1" t="s">
        <v>77</v>
      </c>
      <c r="AF39" s="15">
        <f>VLOOKUP(AF12,calculations!B92:Y262,22)</f>
        <v>0.28599999999999998</v>
      </c>
      <c r="AG39" s="214" t="s">
        <v>353</v>
      </c>
    </row>
    <row r="40" spans="2:33" ht="15.75" customHeight="1">
      <c r="B40" s="11"/>
      <c r="C40" s="24"/>
      <c r="D40" s="24"/>
      <c r="E40" s="24"/>
      <c r="F40" s="24"/>
      <c r="G40" s="24"/>
      <c r="H40" s="24"/>
      <c r="I40" s="24"/>
      <c r="J40" s="24"/>
      <c r="K40" s="24"/>
      <c r="L40" s="24"/>
      <c r="M40" s="24"/>
      <c r="N40" s="24"/>
      <c r="O40" s="4"/>
      <c r="P40" s="24"/>
      <c r="Q40" s="24"/>
      <c r="R40" s="24"/>
      <c r="S40" s="24"/>
      <c r="T40" s="24"/>
      <c r="U40" s="24"/>
      <c r="V40" s="24"/>
      <c r="W40" s="83"/>
      <c r="X40" s="83"/>
      <c r="Y40" s="18"/>
      <c r="Z40" s="99"/>
      <c r="AA40" s="99"/>
      <c r="AB40" s="99"/>
      <c r="AC40" s="99"/>
      <c r="AE40" s="1" t="s">
        <v>76</v>
      </c>
      <c r="AF40" s="15">
        <f>VLOOKUP(AF12,calculations!B92:Y262,21)</f>
        <v>32.1</v>
      </c>
      <c r="AG40" s="219" t="s">
        <v>352</v>
      </c>
    </row>
    <row r="41" spans="2:33" ht="15.95" hidden="1" customHeight="1">
      <c r="B41" s="11"/>
      <c r="C41" s="24"/>
      <c r="D41" s="24"/>
      <c r="E41" s="24"/>
      <c r="F41" s="24"/>
      <c r="G41" s="24"/>
      <c r="H41" s="24"/>
      <c r="I41" s="24"/>
      <c r="J41" s="24"/>
      <c r="K41" s="24"/>
      <c r="L41" s="24"/>
      <c r="M41" s="24"/>
      <c r="N41" s="24"/>
      <c r="O41" s="4"/>
      <c r="P41" s="312"/>
      <c r="Q41" s="312"/>
      <c r="R41" s="312"/>
      <c r="S41" s="312"/>
      <c r="T41" s="312"/>
      <c r="U41" s="312"/>
      <c r="V41" s="312"/>
      <c r="W41" s="312"/>
      <c r="X41" s="312"/>
      <c r="Y41" s="18"/>
      <c r="Z41" s="99"/>
      <c r="AA41" s="99"/>
      <c r="AB41" s="99"/>
      <c r="AC41" s="99"/>
      <c r="AE41" s="1" t="s">
        <v>75</v>
      </c>
      <c r="AF41" s="15">
        <f>VLOOKUP(AF12,calculations!B92:Y262,20)</f>
        <v>0.88</v>
      </c>
    </row>
    <row r="42" spans="2:33" ht="15.95" hidden="1" customHeight="1">
      <c r="B42" s="11"/>
      <c r="C42" s="24"/>
      <c r="D42" s="24"/>
      <c r="E42" s="24"/>
      <c r="F42" s="24"/>
      <c r="G42" s="24"/>
      <c r="H42" s="24"/>
      <c r="I42" s="24"/>
      <c r="J42" s="24"/>
      <c r="K42" s="24"/>
      <c r="L42" s="24"/>
      <c r="M42" s="24"/>
      <c r="N42" s="24"/>
      <c r="O42" s="4"/>
      <c r="P42" s="4"/>
      <c r="Q42" s="4"/>
      <c r="R42" s="4"/>
      <c r="S42" s="153"/>
      <c r="T42" s="153"/>
      <c r="U42" s="313"/>
      <c r="V42" s="313"/>
      <c r="W42" s="175"/>
      <c r="X42" s="12"/>
      <c r="Y42" s="18"/>
      <c r="Z42" s="99"/>
      <c r="AA42" s="99"/>
      <c r="AB42" s="99"/>
      <c r="AC42" s="99"/>
      <c r="AE42" s="1"/>
      <c r="AF42" s="15"/>
    </row>
    <row r="43" spans="2:33" ht="15.95" hidden="1" customHeight="1">
      <c r="B43" s="11"/>
      <c r="C43" s="24"/>
      <c r="D43" s="24"/>
      <c r="E43" s="24"/>
      <c r="F43" s="24"/>
      <c r="G43" s="24"/>
      <c r="H43" s="24"/>
      <c r="I43" s="24"/>
      <c r="J43" s="24"/>
      <c r="K43" s="24"/>
      <c r="L43" s="24"/>
      <c r="M43" s="24"/>
      <c r="N43" s="24"/>
      <c r="O43" s="4"/>
      <c r="P43" s="311"/>
      <c r="Q43" s="311"/>
      <c r="R43" s="311"/>
      <c r="S43" s="37"/>
      <c r="T43" s="37"/>
      <c r="U43" s="306"/>
      <c r="V43" s="306"/>
      <c r="W43" s="154"/>
      <c r="X43" s="12"/>
      <c r="Y43" s="18"/>
      <c r="Z43" s="99"/>
      <c r="AA43" s="99"/>
      <c r="AB43" s="99"/>
      <c r="AC43" s="99"/>
      <c r="AD43" s="1"/>
      <c r="AE43" s="1" t="s">
        <v>265</v>
      </c>
      <c r="AF43" s="15">
        <f>IF(OR(AL20=1,AL20=2),1,Zx/Sx)</f>
        <v>1</v>
      </c>
    </row>
    <row r="44" spans="2:33" ht="15.95" customHeight="1">
      <c r="B44" s="11"/>
      <c r="C44" s="24"/>
      <c r="D44" s="24"/>
      <c r="E44" s="24"/>
      <c r="F44" s="24"/>
      <c r="G44" s="24"/>
      <c r="H44" s="24"/>
      <c r="I44" s="24"/>
      <c r="J44" s="24"/>
      <c r="K44" s="24"/>
      <c r="L44" s="24"/>
      <c r="M44" s="24"/>
      <c r="N44" s="24"/>
      <c r="O44" s="4"/>
      <c r="P44" s="311"/>
      <c r="Q44" s="311"/>
      <c r="R44" s="311"/>
      <c r="S44" s="37"/>
      <c r="T44" s="37"/>
      <c r="U44" s="306"/>
      <c r="V44" s="306"/>
      <c r="W44" s="154"/>
      <c r="X44" s="12"/>
      <c r="Y44" s="18"/>
      <c r="Z44" s="99"/>
      <c r="AA44" s="99"/>
      <c r="AB44" s="99"/>
      <c r="AC44" s="99"/>
      <c r="AE44" s="1" t="s">
        <v>266</v>
      </c>
      <c r="AF44" s="15">
        <f>_Le1*100/ry</f>
        <v>155.44041450777203</v>
      </c>
    </row>
    <row r="45" spans="2:33" ht="16.5" customHeight="1">
      <c r="B45" s="11"/>
      <c r="C45" s="308" t="s">
        <v>330</v>
      </c>
      <c r="D45" s="309"/>
      <c r="E45" s="309"/>
      <c r="F45" s="309"/>
      <c r="G45" s="309"/>
      <c r="H45" s="309"/>
      <c r="I45" s="304" t="s">
        <v>332</v>
      </c>
      <c r="J45" s="304"/>
      <c r="K45" s="304"/>
      <c r="L45" s="304"/>
      <c r="M45" s="304"/>
      <c r="N45" s="305"/>
      <c r="O45" s="4"/>
      <c r="P45" s="4"/>
      <c r="Q45" s="4"/>
      <c r="R45" s="4"/>
      <c r="S45" s="4"/>
      <c r="T45" s="4"/>
      <c r="U45" s="4"/>
      <c r="V45" s="4"/>
      <c r="W45" s="14"/>
      <c r="X45" s="14"/>
      <c r="Y45" s="19"/>
      <c r="Z45" s="102"/>
      <c r="AA45" s="102"/>
      <c r="AB45" s="102"/>
      <c r="AC45" s="102"/>
      <c r="AE45" s="1" t="s">
        <v>264</v>
      </c>
      <c r="AF45" s="15">
        <f>1/((1+0.05*(AF44/x)^2)^(0.25))</f>
        <v>0.82368930981134658</v>
      </c>
    </row>
    <row r="46" spans="2:33" ht="15.95" customHeight="1">
      <c r="B46" s="11"/>
      <c r="C46" s="323" t="s">
        <v>354</v>
      </c>
      <c r="D46" s="324"/>
      <c r="E46" s="324"/>
      <c r="F46" s="324"/>
      <c r="G46" s="324"/>
      <c r="H46" s="324"/>
      <c r="I46" s="330">
        <f>AF59</f>
        <v>92.03</v>
      </c>
      <c r="J46" s="331"/>
      <c r="K46" s="148" t="s">
        <v>304</v>
      </c>
      <c r="L46" s="57"/>
      <c r="M46" s="57"/>
      <c r="N46" s="58"/>
      <c r="O46" s="4"/>
      <c r="P46" s="4"/>
      <c r="Q46" s="4"/>
      <c r="R46" s="4"/>
      <c r="S46" s="4"/>
      <c r="T46" s="4"/>
      <c r="U46" s="5"/>
      <c r="V46" s="5"/>
      <c r="W46" s="37"/>
      <c r="X46" s="37"/>
      <c r="Y46" s="19"/>
      <c r="Z46" s="102"/>
      <c r="AA46" s="102"/>
      <c r="AB46" s="102"/>
      <c r="AC46" s="102"/>
      <c r="AE46" s="1" t="s">
        <v>267</v>
      </c>
      <c r="AF46" s="15">
        <f>u*v*AF44*(AF43^0.5)</f>
        <v>112.6704548135728</v>
      </c>
    </row>
    <row r="47" spans="2:33" ht="15.95" customHeight="1">
      <c r="B47" s="11"/>
      <c r="C47" s="221" t="s">
        <v>347</v>
      </c>
      <c r="D47" s="225"/>
      <c r="E47" s="225"/>
      <c r="F47" s="225"/>
      <c r="G47" s="225"/>
      <c r="H47" s="225"/>
      <c r="I47" s="325">
        <f>$AJ$31</f>
        <v>412.16</v>
      </c>
      <c r="J47" s="325"/>
      <c r="K47" s="62" t="s">
        <v>304</v>
      </c>
      <c r="L47" s="59"/>
      <c r="M47" s="59"/>
      <c r="N47" s="38"/>
      <c r="O47" s="4"/>
      <c r="P47" s="4"/>
      <c r="Q47" s="4"/>
      <c r="R47" s="4"/>
      <c r="S47" s="4"/>
      <c r="T47" s="4"/>
      <c r="U47" s="5"/>
      <c r="V47" s="5"/>
      <c r="W47" s="37"/>
      <c r="X47" s="37"/>
      <c r="Y47" s="19"/>
      <c r="Z47" s="102"/>
      <c r="AA47" s="102"/>
      <c r="AB47" s="102"/>
      <c r="AC47" s="102"/>
      <c r="AE47" s="1" t="s">
        <v>268</v>
      </c>
      <c r="AF47" s="15">
        <f>0.4*(PI()^2*E*1000/fy)^0.5</f>
        <v>26.528205840598311</v>
      </c>
    </row>
    <row r="48" spans="2:33" ht="15.95" customHeight="1">
      <c r="B48" s="11"/>
      <c r="C48" s="326" t="str">
        <f>IF(AND(_Le1&gt;0,AF46&gt;AF47),"-- LTB considered as λLT &gt; λ0 --",IF(AND(_Le1&gt;0,AF46&lt;=AF47),"-- LTB not considered as λLT &lt; λ0 --","-- LTB not considered --"))</f>
        <v>-- LTB considered as λLT &gt; λ0 --</v>
      </c>
      <c r="D48" s="327"/>
      <c r="E48" s="327"/>
      <c r="F48" s="327"/>
      <c r="G48" s="327"/>
      <c r="H48" s="327"/>
      <c r="I48" s="327"/>
      <c r="J48" s="327"/>
      <c r="K48" s="327"/>
      <c r="L48" s="327"/>
      <c r="M48" s="327"/>
      <c r="N48" s="328"/>
      <c r="O48" s="4"/>
      <c r="P48" s="4"/>
      <c r="Q48" s="4"/>
      <c r="R48" s="4"/>
      <c r="S48" s="4"/>
      <c r="T48" s="4"/>
      <c r="U48" s="5"/>
      <c r="V48" s="5"/>
      <c r="W48" s="37"/>
      <c r="X48" s="37"/>
      <c r="Y48" s="19"/>
      <c r="Z48" s="102"/>
      <c r="AA48" s="102"/>
      <c r="AB48" s="102"/>
      <c r="AC48" s="102"/>
      <c r="AE48" s="1" t="s">
        <v>269</v>
      </c>
      <c r="AF48" s="15">
        <f>PI()^2*E*1000/(AF46^2)</f>
        <v>159.37988590611914</v>
      </c>
    </row>
    <row r="49" spans="2:36" ht="15.95" customHeight="1">
      <c r="B49" s="11"/>
      <c r="C49" s="221" t="s">
        <v>348</v>
      </c>
      <c r="D49" s="225"/>
      <c r="E49" s="225"/>
      <c r="F49" s="225"/>
      <c r="G49" s="225"/>
      <c r="H49" s="225"/>
      <c r="I49" s="325">
        <f>IF(AND(_Le1&gt;0,AF46&gt;AF47),$AJ$56,IF(AND(_Le1&gt;0,AF46&lt;=AF47),"N/A","N/A"))</f>
        <v>111.04760663306672</v>
      </c>
      <c r="J49" s="325"/>
      <c r="K49" s="62" t="str">
        <f>IF(I49="N/A","","kNm")</f>
        <v>kNm</v>
      </c>
      <c r="L49" s="59"/>
      <c r="M49" s="59"/>
      <c r="N49" s="38"/>
      <c r="O49" s="4"/>
      <c r="P49" s="4"/>
      <c r="Q49" s="4"/>
      <c r="R49" s="4"/>
      <c r="S49" s="4"/>
      <c r="T49" s="4"/>
      <c r="U49" s="5"/>
      <c r="V49" s="5"/>
      <c r="W49" s="37"/>
      <c r="X49" s="37"/>
      <c r="Y49" s="19"/>
      <c r="Z49" s="102"/>
      <c r="AA49" s="102"/>
      <c r="AB49" s="102"/>
      <c r="AC49" s="102"/>
      <c r="AE49" s="136" t="s">
        <v>271</v>
      </c>
      <c r="AF49" s="15">
        <f>IF(7*(AF46-AF47)/1000&lt;0,0,7*(AF46-AF47)/1000)</f>
        <v>0.60299574281082158</v>
      </c>
    </row>
    <row r="50" spans="2:36" ht="15.95" customHeight="1">
      <c r="B50" s="11"/>
      <c r="C50" s="221" t="s">
        <v>303</v>
      </c>
      <c r="D50" s="225"/>
      <c r="E50" s="225"/>
      <c r="F50" s="225"/>
      <c r="G50" s="225"/>
      <c r="H50" s="225"/>
      <c r="I50" s="325">
        <f>IF(AND(_Le1&gt;0,AF46&gt;AF47),AJ56,AJ31)</f>
        <v>111.04760663306672</v>
      </c>
      <c r="J50" s="325"/>
      <c r="K50" s="62" t="s">
        <v>304</v>
      </c>
      <c r="L50" s="59"/>
      <c r="M50" s="59"/>
      <c r="N50" s="38"/>
      <c r="O50" s="4"/>
      <c r="P50" s="4"/>
      <c r="Q50" s="4"/>
      <c r="R50" s="4"/>
      <c r="S50" s="4"/>
      <c r="T50" s="4"/>
      <c r="U50" s="5"/>
      <c r="V50" s="5"/>
      <c r="W50" s="37"/>
      <c r="X50" s="37"/>
      <c r="Y50" s="19"/>
      <c r="Z50" s="102"/>
      <c r="AA50" s="102"/>
      <c r="AB50" s="102"/>
      <c r="AC50" s="102"/>
      <c r="AE50" s="1" t="s">
        <v>270</v>
      </c>
      <c r="AF50" s="15">
        <f>(fy+(AF49+1)*AF48)/2</f>
        <v>357.74263929859171</v>
      </c>
    </row>
    <row r="51" spans="2:36" ht="15.95" customHeight="1">
      <c r="B51" s="11"/>
      <c r="C51" s="316" t="s">
        <v>34</v>
      </c>
      <c r="D51" s="317"/>
      <c r="E51" s="317"/>
      <c r="F51" s="317"/>
      <c r="G51" s="317"/>
      <c r="H51" s="317"/>
      <c r="I51" s="318">
        <f>I46/I50</f>
        <v>0.82874366040227798</v>
      </c>
      <c r="J51" s="318"/>
      <c r="K51" s="146"/>
      <c r="L51" s="146"/>
      <c r="M51" s="144"/>
      <c r="N51" s="145"/>
      <c r="O51" s="4"/>
      <c r="P51" s="4"/>
      <c r="Q51" s="4"/>
      <c r="R51" s="4"/>
      <c r="S51" s="4"/>
      <c r="T51" s="4"/>
      <c r="U51" s="5"/>
      <c r="V51" s="5"/>
      <c r="W51" s="37"/>
      <c r="X51" s="37"/>
      <c r="Y51" s="19"/>
      <c r="Z51" s="102"/>
      <c r="AA51" s="102"/>
      <c r="AB51" s="102"/>
      <c r="AC51" s="102"/>
      <c r="AE51" s="1" t="s">
        <v>272</v>
      </c>
      <c r="AF51" s="15">
        <f>AF48*fy/(AF50+(AF50^2-AF48*fy)^(0.5))</f>
        <v>123.93706097440483</v>
      </c>
    </row>
    <row r="52" spans="2:36" ht="15.95" customHeight="1">
      <c r="B52" s="11"/>
      <c r="C52" s="24"/>
      <c r="D52" s="24"/>
      <c r="E52" s="24"/>
      <c r="F52" s="24"/>
      <c r="G52" s="24"/>
      <c r="H52" s="24"/>
      <c r="I52" s="24"/>
      <c r="J52" s="24"/>
      <c r="K52" s="24"/>
      <c r="L52" s="24"/>
      <c r="M52" s="24"/>
      <c r="N52" s="24"/>
      <c r="O52" s="4"/>
      <c r="P52" s="4"/>
      <c r="Q52" s="4"/>
      <c r="R52" s="4"/>
      <c r="S52" s="4"/>
      <c r="T52" s="4"/>
      <c r="U52" s="5"/>
      <c r="V52" s="5"/>
      <c r="W52" s="37"/>
      <c r="X52" s="37"/>
      <c r="Y52" s="19"/>
      <c r="Z52" s="102"/>
      <c r="AA52" s="102"/>
      <c r="AB52" s="102"/>
      <c r="AC52" s="102"/>
      <c r="AE52" s="1" t="s">
        <v>274</v>
      </c>
      <c r="AF52" s="187">
        <f>AG14</f>
        <v>1</v>
      </c>
      <c r="AG52" s="1" t="s">
        <v>275</v>
      </c>
    </row>
    <row r="53" spans="2:36" ht="16.5" customHeight="1">
      <c r="B53" s="11"/>
      <c r="C53" s="308" t="s">
        <v>330</v>
      </c>
      <c r="D53" s="309"/>
      <c r="E53" s="309"/>
      <c r="F53" s="309"/>
      <c r="G53" s="309"/>
      <c r="H53" s="309"/>
      <c r="I53" s="304" t="s">
        <v>331</v>
      </c>
      <c r="J53" s="304"/>
      <c r="K53" s="304"/>
      <c r="L53" s="304"/>
      <c r="M53" s="304"/>
      <c r="N53" s="305"/>
      <c r="O53" s="4"/>
      <c r="P53" s="4"/>
      <c r="Q53" s="4"/>
      <c r="R53" s="4"/>
      <c r="S53" s="4"/>
      <c r="T53" s="4"/>
      <c r="U53" s="5"/>
      <c r="V53" s="5"/>
      <c r="W53" s="37"/>
      <c r="X53" s="37"/>
      <c r="Y53" s="19"/>
      <c r="Z53" s="102"/>
      <c r="AA53" s="102"/>
      <c r="AB53" s="102"/>
      <c r="AC53" s="102"/>
    </row>
    <row r="54" spans="2:36" ht="15.95" customHeight="1">
      <c r="B54" s="11"/>
      <c r="C54" s="323" t="s">
        <v>382</v>
      </c>
      <c r="D54" s="324"/>
      <c r="E54" s="324"/>
      <c r="F54" s="324"/>
      <c r="G54" s="324"/>
      <c r="H54" s="324"/>
      <c r="I54" s="330">
        <f>AF60</f>
        <v>45.28</v>
      </c>
      <c r="J54" s="330"/>
      <c r="K54" s="148" t="s">
        <v>1</v>
      </c>
      <c r="L54" s="57"/>
      <c r="M54" s="57"/>
      <c r="N54" s="58"/>
      <c r="O54" s="4"/>
      <c r="P54" s="4"/>
      <c r="Q54" s="4"/>
      <c r="R54" s="4"/>
      <c r="S54" s="4"/>
      <c r="T54" s="4"/>
      <c r="U54" s="4"/>
      <c r="V54" s="4"/>
      <c r="W54" s="14"/>
      <c r="X54" s="14"/>
      <c r="Y54" s="19"/>
      <c r="Z54" s="102"/>
      <c r="AA54" s="102"/>
      <c r="AB54" s="102"/>
      <c r="AC54" s="102"/>
      <c r="AF54" s="10">
        <v>1</v>
      </c>
      <c r="AG54" s="10">
        <v>2</v>
      </c>
      <c r="AH54" s="10">
        <v>3</v>
      </c>
      <c r="AI54" s="10">
        <v>4</v>
      </c>
    </row>
    <row r="55" spans="2:36" ht="15.95" customHeight="1">
      <c r="B55" s="11"/>
      <c r="C55" s="221" t="s">
        <v>351</v>
      </c>
      <c r="D55" s="225"/>
      <c r="E55" s="225"/>
      <c r="F55" s="225"/>
      <c r="G55" s="225"/>
      <c r="H55" s="225"/>
      <c r="I55" s="303">
        <f>AF22</f>
        <v>725.05200000000002</v>
      </c>
      <c r="J55" s="303"/>
      <c r="K55" s="62" t="s">
        <v>1</v>
      </c>
      <c r="L55" s="59"/>
      <c r="M55" s="59"/>
      <c r="N55" s="38"/>
      <c r="O55" s="4"/>
      <c r="P55" s="4"/>
      <c r="Q55" s="4"/>
      <c r="R55" s="4"/>
      <c r="S55" s="4"/>
      <c r="T55" s="4"/>
      <c r="U55" s="4"/>
      <c r="V55" s="4"/>
      <c r="W55" s="14"/>
      <c r="X55" s="14"/>
      <c r="Y55" s="19"/>
      <c r="Z55" s="102"/>
      <c r="AA55" s="102"/>
      <c r="AB55" s="102"/>
      <c r="AC55" s="102"/>
      <c r="AF55" s="1" t="s">
        <v>249</v>
      </c>
      <c r="AG55" s="1" t="s">
        <v>250</v>
      </c>
      <c r="AH55" s="1" t="s">
        <v>251</v>
      </c>
      <c r="AI55" s="1" t="s">
        <v>252</v>
      </c>
    </row>
    <row r="56" spans="2:36" ht="15.95" customHeight="1">
      <c r="B56" s="11"/>
      <c r="C56" s="326" t="str">
        <f>IF(I57&lt;0.6,"-- Low shear present --","-- High shear present --")</f>
        <v>-- Low shear present --</v>
      </c>
      <c r="D56" s="327"/>
      <c r="E56" s="327"/>
      <c r="F56" s="327"/>
      <c r="G56" s="327"/>
      <c r="H56" s="327"/>
      <c r="I56" s="327"/>
      <c r="J56" s="327"/>
      <c r="K56" s="327"/>
      <c r="L56" s="327"/>
      <c r="M56" s="327"/>
      <c r="N56" s="328"/>
      <c r="O56" s="4"/>
      <c r="P56" s="4"/>
      <c r="Q56" s="4"/>
      <c r="R56" s="4"/>
      <c r="S56" s="4"/>
      <c r="T56" s="4"/>
      <c r="U56" s="5"/>
      <c r="V56" s="5"/>
      <c r="W56" s="37"/>
      <c r="X56" s="37"/>
      <c r="Y56" s="19"/>
      <c r="Z56" s="102"/>
      <c r="AA56" s="102"/>
      <c r="AB56" s="102"/>
      <c r="AC56" s="102"/>
      <c r="AE56" s="65" t="s">
        <v>273</v>
      </c>
      <c r="AF56" s="15">
        <f>AF51*Sx/(1000*mLT)</f>
        <v>111.04760663306672</v>
      </c>
      <c r="AG56" s="15">
        <f>AF56</f>
        <v>111.04760663306672</v>
      </c>
      <c r="AH56" s="15">
        <f>AF51*Zx/(1000*mLT)</f>
        <v>98.653900535626249</v>
      </c>
      <c r="AI56" s="213" t="s">
        <v>349</v>
      </c>
      <c r="AJ56" s="15">
        <f>HLOOKUP(AL20,AF54:AI56,3)</f>
        <v>111.04760663306672</v>
      </c>
    </row>
    <row r="57" spans="2:36" ht="15.95" customHeight="1">
      <c r="B57" s="11"/>
      <c r="C57" s="316" t="s">
        <v>34</v>
      </c>
      <c r="D57" s="317"/>
      <c r="E57" s="317"/>
      <c r="F57" s="317"/>
      <c r="G57" s="317"/>
      <c r="H57" s="317"/>
      <c r="I57" s="329">
        <f>I54/I55</f>
        <v>6.2450693191660737E-2</v>
      </c>
      <c r="J57" s="329"/>
      <c r="K57" s="60"/>
      <c r="L57" s="60"/>
      <c r="M57" s="60"/>
      <c r="N57" s="61"/>
      <c r="O57" s="4"/>
      <c r="P57" s="4"/>
      <c r="Q57" s="4"/>
      <c r="R57" s="4"/>
      <c r="S57" s="4"/>
      <c r="T57" s="4"/>
      <c r="U57" s="5"/>
      <c r="V57" s="5"/>
      <c r="W57" s="37"/>
      <c r="X57" s="37"/>
      <c r="Y57" s="19"/>
      <c r="Z57" s="102"/>
      <c r="AA57" s="102"/>
      <c r="AB57" s="102"/>
      <c r="AC57" s="102"/>
    </row>
    <row r="58" spans="2:36" ht="15.95" customHeight="1">
      <c r="B58" s="11"/>
      <c r="C58" s="24"/>
      <c r="D58" s="24"/>
      <c r="E58" s="24"/>
      <c r="F58" s="24"/>
      <c r="G58" s="24"/>
      <c r="H58" s="24"/>
      <c r="I58" s="24"/>
      <c r="J58" s="24"/>
      <c r="K58" s="24"/>
      <c r="L58" s="24"/>
      <c r="M58" s="24"/>
      <c r="N58" s="24"/>
      <c r="O58" s="4"/>
      <c r="P58" s="4"/>
      <c r="Q58" s="4"/>
      <c r="R58" s="4"/>
      <c r="S58" s="4"/>
      <c r="T58" s="4"/>
      <c r="U58" s="5"/>
      <c r="V58" s="5"/>
      <c r="W58" s="37"/>
      <c r="X58" s="37"/>
      <c r="Y58" s="19"/>
      <c r="Z58" s="102"/>
      <c r="AA58" s="102"/>
      <c r="AB58" s="102"/>
      <c r="AC58" s="102"/>
    </row>
    <row r="59" spans="2:36" ht="15.95" customHeight="1">
      <c r="B59" s="11"/>
      <c r="C59" s="24"/>
      <c r="D59" s="24"/>
      <c r="E59" s="24"/>
      <c r="F59" s="24"/>
      <c r="G59" s="24"/>
      <c r="H59" s="24"/>
      <c r="I59" s="24"/>
      <c r="J59" s="24"/>
      <c r="K59" s="24"/>
      <c r="L59" s="24"/>
      <c r="M59" s="24"/>
      <c r="N59" s="24"/>
      <c r="O59" s="4"/>
      <c r="P59" s="4"/>
      <c r="Q59" s="4"/>
      <c r="R59" s="4"/>
      <c r="S59" s="4"/>
      <c r="T59" s="4"/>
      <c r="U59" s="5"/>
      <c r="V59" s="5"/>
      <c r="W59" s="37"/>
      <c r="X59" s="37"/>
      <c r="Y59" s="19"/>
      <c r="Z59" s="102"/>
      <c r="AA59" s="102"/>
      <c r="AB59" s="102"/>
      <c r="AC59" s="102"/>
      <c r="AE59" s="138" t="s">
        <v>283</v>
      </c>
      <c r="AF59" s="137">
        <f>ROUND(-MIN(calculations!C81:CY81),2)</f>
        <v>92.03</v>
      </c>
    </row>
    <row r="60" spans="2:36" ht="15.95" customHeight="1">
      <c r="B60" s="11"/>
      <c r="C60" s="24"/>
      <c r="D60" s="24"/>
      <c r="E60" s="24"/>
      <c r="F60" s="24"/>
      <c r="G60" s="24"/>
      <c r="H60" s="24"/>
      <c r="I60" s="24"/>
      <c r="J60" s="24"/>
      <c r="K60" s="24"/>
      <c r="L60" s="24"/>
      <c r="M60" s="24"/>
      <c r="N60" s="24"/>
      <c r="O60" s="4"/>
      <c r="P60" s="4"/>
      <c r="Q60" s="4"/>
      <c r="R60" s="4"/>
      <c r="S60" s="4"/>
      <c r="T60" s="4"/>
      <c r="U60" s="5"/>
      <c r="V60" s="5"/>
      <c r="W60" s="37"/>
      <c r="X60" s="37"/>
      <c r="Y60" s="19"/>
      <c r="Z60" s="102"/>
      <c r="AA60" s="102"/>
      <c r="AB60" s="102"/>
      <c r="AC60" s="102"/>
      <c r="AE60" s="139" t="s">
        <v>284</v>
      </c>
      <c r="AF60" s="137">
        <f>ABS(ROUND(IF(MAX(calculations!C83:CY83)&gt;ABS(MIN(calculations!C83:CY83)),MAX(calculations!C83:CY83),MIN(calculations!C83:CY83)),2))</f>
        <v>45.28</v>
      </c>
    </row>
    <row r="61" spans="2:36" ht="16.5" customHeight="1">
      <c r="B61" s="11"/>
      <c r="C61" s="308" t="s">
        <v>330</v>
      </c>
      <c r="D61" s="309"/>
      <c r="E61" s="309"/>
      <c r="F61" s="309"/>
      <c r="G61" s="309"/>
      <c r="H61" s="309"/>
      <c r="I61" s="304" t="s">
        <v>329</v>
      </c>
      <c r="J61" s="304"/>
      <c r="K61" s="304"/>
      <c r="L61" s="304"/>
      <c r="M61" s="304"/>
      <c r="N61" s="305"/>
      <c r="O61" s="4"/>
      <c r="P61" s="4"/>
      <c r="Q61" s="4"/>
      <c r="R61" s="4"/>
      <c r="S61" s="4"/>
      <c r="T61" s="4"/>
      <c r="U61" s="5"/>
      <c r="V61" s="5"/>
      <c r="W61" s="37"/>
      <c r="X61" s="37"/>
      <c r="Y61" s="19"/>
      <c r="Z61" s="102"/>
      <c r="AA61" s="102"/>
      <c r="AB61" s="102"/>
      <c r="AC61" s="102"/>
      <c r="AE61" s="140" t="s">
        <v>289</v>
      </c>
      <c r="AF61" s="137">
        <f>ROUND(-MIN(calculations!C84:CY84),2)</f>
        <v>5.22</v>
      </c>
    </row>
    <row r="62" spans="2:36" ht="15.95" customHeight="1">
      <c r="B62" s="11"/>
      <c r="C62" s="221" t="s">
        <v>293</v>
      </c>
      <c r="D62" s="225"/>
      <c r="E62" s="225"/>
      <c r="F62" s="225"/>
      <c r="G62" s="225"/>
      <c r="H62" s="225"/>
      <c r="I62" s="319">
        <f>AF61</f>
        <v>5.22</v>
      </c>
      <c r="J62" s="319"/>
      <c r="K62" s="84" t="s">
        <v>5</v>
      </c>
      <c r="L62" s="310" t="str">
        <f>"(L/"&amp;ROUND(8*1000/I62,0)&amp;")"</f>
        <v>(L/1533)</v>
      </c>
      <c r="M62" s="310"/>
      <c r="N62" s="38"/>
      <c r="O62" s="4"/>
      <c r="P62" s="4"/>
      <c r="Q62" s="4"/>
      <c r="R62" s="4"/>
      <c r="S62" s="4"/>
      <c r="T62" s="4"/>
      <c r="U62" s="5"/>
      <c r="V62" s="5"/>
      <c r="W62" s="37"/>
      <c r="X62" s="37"/>
      <c r="Y62" s="19"/>
      <c r="Z62" s="102"/>
      <c r="AA62" s="102"/>
      <c r="AB62" s="102"/>
      <c r="AC62" s="102"/>
      <c r="AE62" s="140" t="s">
        <v>290</v>
      </c>
      <c r="AF62" s="137">
        <f>ROUND(-MIN(calculations!C85:CY85),2)</f>
        <v>14.09</v>
      </c>
    </row>
    <row r="63" spans="2:36" ht="15.95" customHeight="1">
      <c r="B63" s="11"/>
      <c r="C63" s="221" t="s">
        <v>292</v>
      </c>
      <c r="D63" s="225"/>
      <c r="E63" s="225"/>
      <c r="F63" s="225"/>
      <c r="G63" s="225"/>
      <c r="H63" s="225"/>
      <c r="I63" s="303">
        <f>8*1000/360</f>
        <v>22.222222222222221</v>
      </c>
      <c r="J63" s="303"/>
      <c r="K63" s="85" t="s">
        <v>5</v>
      </c>
      <c r="L63" s="85" t="s">
        <v>295</v>
      </c>
      <c r="M63" s="142"/>
      <c r="N63" s="143"/>
      <c r="O63" s="4"/>
      <c r="P63" s="4"/>
      <c r="Q63" s="4"/>
      <c r="R63" s="4"/>
      <c r="S63" s="4"/>
      <c r="T63" s="4"/>
      <c r="U63" s="5"/>
      <c r="V63" s="5"/>
      <c r="W63" s="37"/>
      <c r="X63" s="37"/>
      <c r="Y63" s="17"/>
      <c r="Z63" s="92"/>
      <c r="AA63" s="92"/>
      <c r="AB63" s="92"/>
      <c r="AC63" s="92"/>
      <c r="AG63" s="1" t="s">
        <v>15</v>
      </c>
    </row>
    <row r="64" spans="2:36" ht="15.95" customHeight="1">
      <c r="B64" s="11"/>
      <c r="C64" s="314" t="s">
        <v>34</v>
      </c>
      <c r="D64" s="315"/>
      <c r="E64" s="315"/>
      <c r="F64" s="315"/>
      <c r="G64" s="315"/>
      <c r="H64" s="315"/>
      <c r="I64" s="320">
        <f>I62/I63</f>
        <v>0.2349</v>
      </c>
      <c r="J64" s="320"/>
      <c r="K64" s="85"/>
      <c r="L64" s="85"/>
      <c r="M64" s="142"/>
      <c r="N64" s="143"/>
      <c r="O64" s="4"/>
      <c r="P64" s="4"/>
      <c r="Q64" s="4"/>
      <c r="R64" s="4"/>
      <c r="S64" s="4"/>
      <c r="T64" s="4"/>
      <c r="U64" s="4"/>
      <c r="V64" s="4"/>
      <c r="W64" s="12"/>
      <c r="X64" s="12"/>
      <c r="Y64" s="17"/>
      <c r="Z64" s="92"/>
      <c r="AA64" s="92"/>
      <c r="AB64" s="92"/>
      <c r="AC64" s="92"/>
      <c r="AE64" s="65" t="s">
        <v>298</v>
      </c>
      <c r="AF64" s="1" t="s">
        <v>297</v>
      </c>
      <c r="AG64" s="177" t="str">
        <f>S68</f>
        <v>LL+DL</v>
      </c>
      <c r="AH64" s="10">
        <f>IF(AG64="LL+DL",1,0)</f>
        <v>1</v>
      </c>
    </row>
    <row r="65" spans="2:32" ht="15.95" customHeight="1">
      <c r="B65" s="11"/>
      <c r="C65" s="149"/>
      <c r="D65" s="149"/>
      <c r="E65" s="149"/>
      <c r="F65" s="149"/>
      <c r="G65" s="149"/>
      <c r="H65" s="149"/>
      <c r="I65" s="149"/>
      <c r="J65" s="149"/>
      <c r="K65" s="149"/>
      <c r="L65" s="149"/>
      <c r="M65" s="149"/>
      <c r="N65" s="149"/>
      <c r="O65" s="4"/>
      <c r="P65" s="4"/>
      <c r="Q65" s="4"/>
      <c r="R65" s="4"/>
      <c r="S65" s="4"/>
      <c r="T65" s="4"/>
      <c r="U65" s="4"/>
      <c r="V65" s="4"/>
      <c r="W65" s="12"/>
      <c r="X65" s="12"/>
      <c r="Y65" s="17"/>
      <c r="Z65" s="92"/>
      <c r="AA65" s="92"/>
      <c r="AB65" s="92"/>
      <c r="AC65" s="92"/>
      <c r="AE65" s="65"/>
      <c r="AF65" s="1" t="s">
        <v>301</v>
      </c>
    </row>
    <row r="66" spans="2:32" ht="16.5" customHeight="1">
      <c r="B66" s="11"/>
      <c r="C66" s="308" t="s">
        <v>328</v>
      </c>
      <c r="D66" s="309"/>
      <c r="E66" s="309"/>
      <c r="F66" s="309"/>
      <c r="G66" s="309"/>
      <c r="H66" s="309"/>
      <c r="I66" s="304" t="s">
        <v>329</v>
      </c>
      <c r="J66" s="304"/>
      <c r="K66" s="304"/>
      <c r="L66" s="304"/>
      <c r="M66" s="304"/>
      <c r="N66" s="305"/>
      <c r="O66" s="4"/>
      <c r="P66" s="4"/>
      <c r="Q66" s="4"/>
      <c r="R66" s="4"/>
      <c r="S66" s="4"/>
      <c r="T66" s="4"/>
      <c r="U66" s="4"/>
      <c r="V66" s="4"/>
      <c r="W66" s="12"/>
      <c r="X66" s="12"/>
      <c r="Y66" s="17"/>
      <c r="Z66" s="92"/>
      <c r="AA66" s="92"/>
      <c r="AB66" s="92"/>
      <c r="AC66" s="92"/>
    </row>
    <row r="67" spans="2:32" ht="15.95" customHeight="1">
      <c r="B67" s="11"/>
      <c r="C67" s="221" t="s">
        <v>294</v>
      </c>
      <c r="D67" s="225"/>
      <c r="E67" s="225"/>
      <c r="F67" s="225"/>
      <c r="G67" s="225"/>
      <c r="H67" s="225"/>
      <c r="I67" s="303">
        <f>AF62</f>
        <v>14.09</v>
      </c>
      <c r="J67" s="303"/>
      <c r="K67" s="85" t="s">
        <v>5</v>
      </c>
      <c r="L67" s="310" t="str">
        <f>"(L/"&amp;ROUND(8*1000/I67,0)&amp;")"</f>
        <v>(L/568)</v>
      </c>
      <c r="M67" s="310"/>
      <c r="N67" s="143"/>
      <c r="O67" s="4"/>
      <c r="P67" s="4"/>
      <c r="Q67" s="4"/>
      <c r="R67" s="4"/>
      <c r="S67" s="4"/>
      <c r="T67" s="4"/>
      <c r="U67" s="4"/>
      <c r="V67" s="4"/>
      <c r="W67" s="12"/>
      <c r="X67" s="12"/>
      <c r="Y67" s="17"/>
      <c r="Z67" s="92"/>
      <c r="AA67" s="92"/>
      <c r="AB67" s="92"/>
      <c r="AC67" s="92"/>
    </row>
    <row r="68" spans="2:32" ht="15.95" customHeight="1">
      <c r="B68" s="11"/>
      <c r="C68" s="221" t="s">
        <v>296</v>
      </c>
      <c r="D68" s="225"/>
      <c r="E68" s="225"/>
      <c r="F68" s="225"/>
      <c r="G68" s="225"/>
      <c r="H68" s="225"/>
      <c r="I68" s="303">
        <f>IF(L68="(L/200)",8*1000/200,IF(L68="(L/250)",8*1000/250,IF(L68="(L/200) or 25",MIN((8*1000/200),25),MIN((8*1000/250),25))))</f>
        <v>25</v>
      </c>
      <c r="J68" s="303"/>
      <c r="K68" s="85" t="s">
        <v>5</v>
      </c>
      <c r="L68" s="301" t="s">
        <v>337</v>
      </c>
      <c r="M68" s="301"/>
      <c r="N68" s="302"/>
      <c r="O68" s="4"/>
      <c r="P68" s="4"/>
      <c r="Q68" s="147"/>
      <c r="R68" s="174" t="s">
        <v>299</v>
      </c>
      <c r="S68" s="190" t="s">
        <v>301</v>
      </c>
      <c r="T68" s="147" t="s">
        <v>300</v>
      </c>
      <c r="U68" s="4"/>
      <c r="V68" s="4"/>
      <c r="W68" s="12"/>
      <c r="X68" s="12"/>
      <c r="Y68" s="17"/>
      <c r="Z68" s="92"/>
      <c r="AA68" s="92"/>
      <c r="AB68" s="92"/>
      <c r="AC68" s="92"/>
    </row>
    <row r="69" spans="2:32" ht="15.95" customHeight="1">
      <c r="B69" s="11"/>
      <c r="C69" s="316" t="s">
        <v>34</v>
      </c>
      <c r="D69" s="317"/>
      <c r="E69" s="317"/>
      <c r="F69" s="317"/>
      <c r="G69" s="317"/>
      <c r="H69" s="317"/>
      <c r="I69" s="318">
        <f>I67/I68</f>
        <v>0.56359999999999999</v>
      </c>
      <c r="J69" s="318"/>
      <c r="K69" s="146"/>
      <c r="L69" s="146"/>
      <c r="M69" s="144"/>
      <c r="N69" s="145"/>
      <c r="O69" s="4"/>
      <c r="P69" s="24"/>
      <c r="Q69" s="24"/>
      <c r="R69" s="24"/>
      <c r="S69" s="24"/>
      <c r="T69" s="4"/>
      <c r="U69" s="4"/>
      <c r="V69" s="4"/>
      <c r="W69" s="12"/>
      <c r="X69" s="12"/>
      <c r="Y69" s="17"/>
      <c r="Z69" s="92"/>
      <c r="AA69" s="92"/>
      <c r="AB69" s="92"/>
      <c r="AC69" s="92"/>
    </row>
    <row r="70" spans="2:32" ht="12.75" customHeight="1">
      <c r="B70" s="11"/>
      <c r="C70" s="24"/>
      <c r="D70" s="24"/>
      <c r="E70" s="24"/>
      <c r="F70" s="24"/>
      <c r="G70" s="24"/>
      <c r="H70" s="24"/>
      <c r="I70" s="24"/>
      <c r="J70" s="24"/>
      <c r="K70" s="24"/>
      <c r="L70" s="24"/>
      <c r="M70" s="24"/>
      <c r="N70" s="24"/>
      <c r="O70" s="4"/>
      <c r="P70" s="4"/>
      <c r="Q70" s="24"/>
      <c r="R70" s="176"/>
      <c r="S70" s="24"/>
      <c r="T70" s="4"/>
      <c r="U70" s="4"/>
      <c r="V70" s="4"/>
      <c r="W70" s="12"/>
      <c r="X70" s="12"/>
      <c r="Y70" s="17"/>
      <c r="Z70" s="92"/>
      <c r="AA70" s="92"/>
      <c r="AB70" s="92"/>
      <c r="AC70" s="92"/>
    </row>
    <row r="71" spans="2:32" ht="12.75" customHeight="1" thickBot="1">
      <c r="B71" s="23"/>
      <c r="C71" s="191" t="s">
        <v>344</v>
      </c>
      <c r="D71" s="20"/>
      <c r="E71" s="20"/>
      <c r="F71" s="20"/>
      <c r="G71" s="20"/>
      <c r="H71" s="20"/>
      <c r="I71" s="20"/>
      <c r="J71" s="20"/>
      <c r="K71" s="20"/>
      <c r="L71" s="20"/>
      <c r="M71" s="20"/>
      <c r="N71" s="20"/>
      <c r="O71" s="20"/>
      <c r="P71" s="20"/>
      <c r="Q71" s="20"/>
      <c r="R71" s="20"/>
      <c r="S71" s="20"/>
      <c r="T71" s="20"/>
      <c r="U71" s="20"/>
      <c r="V71" s="20"/>
      <c r="W71" s="21"/>
      <c r="X71" s="141" t="s">
        <v>291</v>
      </c>
      <c r="Y71" s="22"/>
      <c r="Z71" s="92"/>
      <c r="AA71" s="92"/>
      <c r="AB71" s="92"/>
      <c r="AC71" s="92"/>
    </row>
    <row r="72" spans="2:32">
      <c r="B72" s="13"/>
    </row>
  </sheetData>
  <sheetProtection password="CD8C" sheet="1" objects="1" scenarios="1"/>
  <mergeCells count="139">
    <mergeCell ref="Q1:Y1"/>
    <mergeCell ref="B1:P1"/>
    <mergeCell ref="C54:H54"/>
    <mergeCell ref="C66:H66"/>
    <mergeCell ref="I66:N66"/>
    <mergeCell ref="I61:N61"/>
    <mergeCell ref="C61:H61"/>
    <mergeCell ref="I53:N53"/>
    <mergeCell ref="C45:H45"/>
    <mergeCell ref="D2:P4"/>
    <mergeCell ref="I47:J47"/>
    <mergeCell ref="I49:J49"/>
    <mergeCell ref="C47:H47"/>
    <mergeCell ref="C49:H49"/>
    <mergeCell ref="C48:N48"/>
    <mergeCell ref="C56:N56"/>
    <mergeCell ref="C57:H57"/>
    <mergeCell ref="I57:J57"/>
    <mergeCell ref="I46:J46"/>
    <mergeCell ref="I50:J50"/>
    <mergeCell ref="E27:F27"/>
    <mergeCell ref="C55:H55"/>
    <mergeCell ref="I54:J54"/>
    <mergeCell ref="C46:H46"/>
    <mergeCell ref="I69:J69"/>
    <mergeCell ref="C68:H68"/>
    <mergeCell ref="I67:J67"/>
    <mergeCell ref="C69:H69"/>
    <mergeCell ref="I63:J63"/>
    <mergeCell ref="C67:H67"/>
    <mergeCell ref="I68:J68"/>
    <mergeCell ref="C63:H63"/>
    <mergeCell ref="I62:J62"/>
    <mergeCell ref="C62:H62"/>
    <mergeCell ref="I64:J64"/>
    <mergeCell ref="L68:N68"/>
    <mergeCell ref="E28:F28"/>
    <mergeCell ref="I55:J55"/>
    <mergeCell ref="I45:N45"/>
    <mergeCell ref="U43:V43"/>
    <mergeCell ref="U38:V38"/>
    <mergeCell ref="C38:F38"/>
    <mergeCell ref="C53:H53"/>
    <mergeCell ref="C37:F37"/>
    <mergeCell ref="C35:F35"/>
    <mergeCell ref="U44:V44"/>
    <mergeCell ref="L62:M62"/>
    <mergeCell ref="L67:M67"/>
    <mergeCell ref="P44:R44"/>
    <mergeCell ref="P37:R37"/>
    <mergeCell ref="P41:X41"/>
    <mergeCell ref="P43:R43"/>
    <mergeCell ref="U42:V42"/>
    <mergeCell ref="U37:V37"/>
    <mergeCell ref="P35:R35"/>
    <mergeCell ref="M36:N36"/>
    <mergeCell ref="C64:H64"/>
    <mergeCell ref="C51:H51"/>
    <mergeCell ref="I51:J51"/>
    <mergeCell ref="AA7:AB7"/>
    <mergeCell ref="M27:N27"/>
    <mergeCell ref="I28:J28"/>
    <mergeCell ref="H12:L13"/>
    <mergeCell ref="M38:N38"/>
    <mergeCell ref="G35:I35"/>
    <mergeCell ref="J37:L37"/>
    <mergeCell ref="G37:I37"/>
    <mergeCell ref="I25:J25"/>
    <mergeCell ref="J35:L35"/>
    <mergeCell ref="K8:N9"/>
    <mergeCell ref="K16:L16"/>
    <mergeCell ref="M35:N35"/>
    <mergeCell ref="P36:R36"/>
    <mergeCell ref="U36:V36"/>
    <mergeCell ref="P38:R38"/>
    <mergeCell ref="J36:L36"/>
    <mergeCell ref="M37:N37"/>
    <mergeCell ref="U35:V35"/>
    <mergeCell ref="J38:L38"/>
    <mergeCell ref="Q2:T3"/>
    <mergeCell ref="C8:D8"/>
    <mergeCell ref="E8:F8"/>
    <mergeCell ref="H7:N7"/>
    <mergeCell ref="C22:N22"/>
    <mergeCell ref="C10:D10"/>
    <mergeCell ref="C15:D16"/>
    <mergeCell ref="I16:J16"/>
    <mergeCell ref="I17:J17"/>
    <mergeCell ref="E12:F13"/>
    <mergeCell ref="E9:F9"/>
    <mergeCell ref="W4:Y4"/>
    <mergeCell ref="E23:F23"/>
    <mergeCell ref="K17:L17"/>
    <mergeCell ref="E24:F24"/>
    <mergeCell ref="G23:H23"/>
    <mergeCell ref="I8:J9"/>
    <mergeCell ref="G24:H24"/>
    <mergeCell ref="W5:Y5"/>
    <mergeCell ref="M23:N24"/>
    <mergeCell ref="K23:L24"/>
    <mergeCell ref="Q5:R5"/>
    <mergeCell ref="U5:V5"/>
    <mergeCell ref="S5:T5"/>
    <mergeCell ref="C50:H50"/>
    <mergeCell ref="G27:H27"/>
    <mergeCell ref="G28:H28"/>
    <mergeCell ref="G36:I36"/>
    <mergeCell ref="C36:F36"/>
    <mergeCell ref="E26:F26"/>
    <mergeCell ref="C28:D28"/>
    <mergeCell ref="U3:V3"/>
    <mergeCell ref="U4:V4"/>
    <mergeCell ref="C24:D24"/>
    <mergeCell ref="I24:J24"/>
    <mergeCell ref="E10:F10"/>
    <mergeCell ref="E15:F16"/>
    <mergeCell ref="R7:X7"/>
    <mergeCell ref="C7:F7"/>
    <mergeCell ref="C9:D9"/>
    <mergeCell ref="C12:D13"/>
    <mergeCell ref="E25:F25"/>
    <mergeCell ref="H10:N10"/>
    <mergeCell ref="H15:N15"/>
    <mergeCell ref="W3:Y3"/>
    <mergeCell ref="Q4:R4"/>
    <mergeCell ref="S4:T4"/>
    <mergeCell ref="D5:P5"/>
    <mergeCell ref="C26:D26"/>
    <mergeCell ref="G38:I38"/>
    <mergeCell ref="G25:H25"/>
    <mergeCell ref="C25:D25"/>
    <mergeCell ref="U34:V34"/>
    <mergeCell ref="P34:R34"/>
    <mergeCell ref="M28:N28"/>
    <mergeCell ref="C34:N34"/>
    <mergeCell ref="I26:J26"/>
    <mergeCell ref="I27:J27"/>
    <mergeCell ref="C27:D27"/>
    <mergeCell ref="G26:H26"/>
  </mergeCells>
  <conditionalFormatting sqref="AA8:AA11">
    <cfRule type="cellIs" dxfId="0" priority="1" stopIfTrue="1" operator="greaterThan">
      <formula>1</formula>
    </cfRule>
  </conditionalFormatting>
  <dataValidations count="3">
    <dataValidation type="list" allowBlank="1" showErrorMessage="1" error="select 'LL' or 'LL+DL'" sqref="S68" xr:uid="{00000000-0002-0000-0000-000000000000}">
      <formula1>$AF$64:$AF$65</formula1>
    </dataValidation>
    <dataValidation type="list" allowBlank="1" showErrorMessage="1" error="select S275, S355 or S460" sqref="E8:F8" xr:uid="{00000000-0002-0000-0000-000001000000}">
      <formula1>$AF$6:$AF$8</formula1>
    </dataValidation>
    <dataValidation type="list" allowBlank="1" showErrorMessage="1" error="select (L/200) or (L/250)" sqref="L68:N68" xr:uid="{00000000-0002-0000-0000-000002000000}">
      <formula1>"(L/200),(L/250),(L/200) or 25,(L/250) or 25"</formula1>
    </dataValidation>
  </dataValidations>
  <pageMargins left="0.75" right="0.19685039370078741" top="0.47" bottom="0.42" header="0" footer="0"/>
  <pageSetup paperSize="9" scale="76" orientation="portrait" r:id="rId1"/>
  <headerFooter scaleWithDoc="0">
    <oddFooter xml:space="preserve">&amp;R&amp;6File Name: &amp;F
</oddFooter>
  </headerFooter>
  <drawing r:id="rId2"/>
  <legacyDrawing r:id="rId3"/>
  <controls>
    <mc:AlternateContent xmlns:mc="http://schemas.openxmlformats.org/markup-compatibility/2006">
      <mc:Choice Requires="x14">
        <control shapeId="4068891" r:id="rId4" name="ComboBox1">
          <controlPr defaultSize="0" autoFill="0" autoLine="0" linkedCell="AF12" listFillRange="calculations!B92:C262" r:id="rId5">
            <anchor moveWithCells="1">
              <from>
                <xdr:col>9</xdr:col>
                <xdr:colOff>142875</xdr:colOff>
                <xdr:row>7</xdr:row>
                <xdr:rowOff>104775</xdr:rowOff>
              </from>
              <to>
                <xdr:col>13</xdr:col>
                <xdr:colOff>76200</xdr:colOff>
                <xdr:row>8</xdr:row>
                <xdr:rowOff>161925</xdr:rowOff>
              </to>
            </anchor>
          </controlPr>
        </control>
      </mc:Choice>
      <mc:Fallback>
        <control shapeId="4068891" r:id="rId4" name="ComboBox1"/>
      </mc:Fallback>
    </mc:AlternateContent>
    <mc:AlternateContent xmlns:mc="http://schemas.openxmlformats.org/markup-compatibility/2006">
      <mc:Choice Requires="x14">
        <control shapeId="3127308" r:id="rId6" name="Button 12">
          <controlPr defaultSize="0" print="0" autoFill="0" autoPict="0" macro="[0]!printme">
            <anchor moveWithCells="1" sizeWithCells="1">
              <from>
                <xdr:col>26</xdr:col>
                <xdr:colOff>28575</xdr:colOff>
                <xdr:row>3</xdr:row>
                <xdr:rowOff>19050</xdr:rowOff>
              </from>
              <to>
                <xdr:col>27</xdr:col>
                <xdr:colOff>266700</xdr:colOff>
                <xdr:row>4</xdr:row>
                <xdr:rowOff>142875</xdr:rowOff>
              </to>
            </anchor>
          </controlPr>
        </control>
      </mc:Choice>
    </mc:AlternateContent>
    <mc:AlternateContent xmlns:mc="http://schemas.openxmlformats.org/markup-compatibility/2006">
      <mc:Choice Requires="x14">
        <control shapeId="4068604" r:id="rId7" name="Check Box 1276">
          <controlPr defaultSize="0" autoFill="0" autoLine="0" autoPict="0">
            <anchor moveWithCells="1">
              <from>
                <xdr:col>12</xdr:col>
                <xdr:colOff>0</xdr:colOff>
                <xdr:row>11</xdr:row>
                <xdr:rowOff>0</xdr:rowOff>
              </from>
              <to>
                <xdr:col>14</xdr:col>
                <xdr:colOff>0</xdr:colOff>
                <xdr:row>13</xdr:row>
                <xdr:rowOff>0</xdr:rowOff>
              </to>
            </anchor>
          </controlPr>
        </control>
      </mc:Choice>
    </mc:AlternateContent>
    <mc:AlternateContent xmlns:mc="http://schemas.openxmlformats.org/markup-compatibility/2006">
      <mc:Choice Requires="x14">
        <control shapeId="4068661" r:id="rId8" name="Check Box 1333">
          <controlPr defaultSize="0" autoFill="0" autoLine="0" autoPict="0">
            <anchor moveWithCells="1">
              <from>
                <xdr:col>4</xdr:col>
                <xdr:colOff>266700</xdr:colOff>
                <xdr:row>15</xdr:row>
                <xdr:rowOff>180975</xdr:rowOff>
              </from>
              <to>
                <xdr:col>6</xdr:col>
                <xdr:colOff>0</xdr:colOff>
                <xdr:row>17</xdr:row>
                <xdr:rowOff>0</xdr:rowOff>
              </to>
            </anchor>
          </controlPr>
        </control>
      </mc:Choice>
    </mc:AlternateContent>
    <mc:AlternateContent xmlns:mc="http://schemas.openxmlformats.org/markup-compatibility/2006">
      <mc:Choice Requires="x14">
        <control shapeId="4068669" r:id="rId9" name="Group Box 1341">
          <controlPr defaultSize="0" autoFill="0" autoPict="0">
            <anchor moveWithCells="1">
              <from>
                <xdr:col>26</xdr:col>
                <xdr:colOff>0</xdr:colOff>
                <xdr:row>3</xdr:row>
                <xdr:rowOff>0</xdr:rowOff>
              </from>
              <to>
                <xdr:col>27</xdr:col>
                <xdr:colOff>285750</xdr:colOff>
                <xdr:row>4</xdr:row>
                <xdr:rowOff>161925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DA262"/>
  <sheetViews>
    <sheetView topLeftCell="A19" zoomScale="70" zoomScaleNormal="70" workbookViewId="0">
      <selection activeCell="D37" sqref="D37"/>
    </sheetView>
  </sheetViews>
  <sheetFormatPr defaultRowHeight="12.75"/>
  <cols>
    <col min="1" max="1" width="9.140625" style="48"/>
    <col min="2" max="2" width="11.7109375" style="48" customWidth="1"/>
    <col min="3" max="3" width="13.28515625" style="48" customWidth="1"/>
    <col min="4" max="12" width="9.28515625" style="48" bestFit="1" customWidth="1"/>
    <col min="13" max="13" width="10.5703125" style="48" bestFit="1" customWidth="1"/>
    <col min="14" max="25" width="9.28515625" style="48" bestFit="1" customWidth="1"/>
    <col min="26" max="16384" width="9.140625" style="48"/>
  </cols>
  <sheetData>
    <row r="2" spans="2:7">
      <c r="B2" s="46"/>
      <c r="C2" s="47" t="s">
        <v>21</v>
      </c>
      <c r="D2" s="46"/>
      <c r="E2" s="46"/>
      <c r="F2" s="46"/>
      <c r="G2" s="46"/>
    </row>
    <row r="3" spans="2:7">
      <c r="B3" s="49"/>
      <c r="C3" s="50"/>
      <c r="D3" s="49"/>
      <c r="E3" s="50"/>
      <c r="F3" s="46"/>
      <c r="G3" s="50"/>
    </row>
    <row r="4" spans="2:7">
      <c r="B4" s="46" t="s">
        <v>22</v>
      </c>
      <c r="C4" s="52">
        <v>0.1</v>
      </c>
      <c r="D4" s="53">
        <f>0.1+8</f>
        <v>8.1</v>
      </c>
      <c r="E4" s="53"/>
      <c r="F4" s="53"/>
      <c r="G4" s="53"/>
    </row>
    <row r="5" spans="2:7">
      <c r="B5" s="46"/>
      <c r="C5" s="52">
        <v>0</v>
      </c>
      <c r="D5" s="53">
        <v>0</v>
      </c>
      <c r="E5" s="53"/>
      <c r="F5" s="53"/>
      <c r="G5" s="53"/>
    </row>
    <row r="6" spans="2:7">
      <c r="B6" s="51"/>
      <c r="C6" s="54"/>
      <c r="D6" s="55"/>
      <c r="E6" s="55"/>
      <c r="F6" s="55"/>
      <c r="G6" s="55"/>
    </row>
    <row r="7" spans="2:7">
      <c r="B7" s="46" t="s">
        <v>23</v>
      </c>
      <c r="C7" s="52">
        <v>0.1</v>
      </c>
      <c r="D7" s="53">
        <f>C7</f>
        <v>0.1</v>
      </c>
      <c r="E7" s="53">
        <f>0.1+8</f>
        <v>8.1</v>
      </c>
      <c r="F7" s="53">
        <f>E7</f>
        <v>8.1</v>
      </c>
      <c r="G7" s="53"/>
    </row>
    <row r="8" spans="2:7">
      <c r="B8" s="46"/>
      <c r="C8" s="52">
        <f>C9</f>
        <v>-1.9020000000000001</v>
      </c>
      <c r="D8" s="53">
        <v>0</v>
      </c>
      <c r="E8" s="53">
        <f>C8</f>
        <v>-1.9020000000000001</v>
      </c>
      <c r="F8" s="53">
        <v>0</v>
      </c>
      <c r="G8" s="53"/>
    </row>
    <row r="9" spans="2:7">
      <c r="B9" s="51"/>
      <c r="C9" s="54">
        <f>-0.2*MAX(SUM(UDL1d,2,PUDL1d,PUDL1l),SUM(UDL1d,2,PLa1d,PLa1l),SUM(UDL1d,2,PLb1d,PLb1l))</f>
        <v>-1.9020000000000001</v>
      </c>
      <c r="D9" s="55"/>
      <c r="E9" s="55"/>
      <c r="F9" s="55"/>
      <c r="G9" s="55"/>
    </row>
    <row r="10" spans="2:7">
      <c r="B10" s="46" t="s">
        <v>24</v>
      </c>
      <c r="C10" s="52">
        <v>0.1</v>
      </c>
      <c r="D10" s="53">
        <v>0.1</v>
      </c>
      <c r="E10" s="53">
        <f>IF(OR(UDL1d&gt;0,2&gt;0),0.1+8,0)</f>
        <v>8.1</v>
      </c>
      <c r="F10" s="53">
        <f>IF(OR(UDL1d&gt;0,2&gt;0),0.1+8,0)</f>
        <v>8.1</v>
      </c>
      <c r="G10" s="53"/>
    </row>
    <row r="11" spans="2:7">
      <c r="B11" s="50" t="s">
        <v>2</v>
      </c>
      <c r="C11" s="52">
        <v>0</v>
      </c>
      <c r="D11" s="53">
        <f>UDL1d</f>
        <v>3.51</v>
      </c>
      <c r="E11" s="53">
        <f>UDL1d</f>
        <v>3.51</v>
      </c>
      <c r="F11" s="53">
        <v>0</v>
      </c>
      <c r="G11" s="53"/>
    </row>
    <row r="12" spans="2:7">
      <c r="B12" s="50" t="s">
        <v>25</v>
      </c>
      <c r="C12" s="52">
        <f>IF(2&gt;0,UDL1d,0)</f>
        <v>3.51</v>
      </c>
      <c r="D12" s="53">
        <f>IF(2&gt;0,UDL1d+2,0)</f>
        <v>5.51</v>
      </c>
      <c r="E12" s="53">
        <f>IF(2&gt;0,UDL1d+2,0)</f>
        <v>5.51</v>
      </c>
      <c r="F12" s="53">
        <f>IF(2&gt;0,UDL1d,0)</f>
        <v>3.51</v>
      </c>
      <c r="G12" s="53"/>
    </row>
    <row r="13" spans="2:7">
      <c r="B13" s="51"/>
      <c r="C13" s="54"/>
      <c r="D13" s="55"/>
      <c r="E13" s="55"/>
      <c r="F13" s="55"/>
      <c r="G13" s="55"/>
    </row>
    <row r="14" spans="2:7">
      <c r="B14" s="46" t="s">
        <v>277</v>
      </c>
      <c r="C14" s="52">
        <f>IF(OR(PUDL1d&gt;0,PUDL1l&gt;0),0.1+PosPUDL1,0)</f>
        <v>1.1000000000000001</v>
      </c>
      <c r="D14" s="53">
        <f>IF(OR(PUDL1d&gt;0,PUDL1l&gt;0),0.1+PosPUDL1,0)</f>
        <v>1.1000000000000001</v>
      </c>
      <c r="E14" s="53">
        <f>IF(OR(PUDL1d&gt;0,PUDL1l&gt;0),0.1+PosPUDL1+3,0)</f>
        <v>4.0999999999999996</v>
      </c>
      <c r="F14" s="53">
        <f>IF(OR(PUDL1d&gt;0,PUDL1l&gt;0),0.1+PosPUDL1+3,0)</f>
        <v>4.0999999999999996</v>
      </c>
      <c r="G14" s="53"/>
    </row>
    <row r="15" spans="2:7">
      <c r="B15" s="50" t="s">
        <v>2</v>
      </c>
      <c r="C15" s="52">
        <f>UDL1d+2</f>
        <v>5.51</v>
      </c>
      <c r="D15" s="53">
        <f>UDL1d+2+PUDL1d</f>
        <v>7.51</v>
      </c>
      <c r="E15" s="53">
        <f>UDL1d+2+PUDL1d</f>
        <v>7.51</v>
      </c>
      <c r="F15" s="53">
        <f>UDL1d+2</f>
        <v>5.51</v>
      </c>
      <c r="G15" s="53"/>
    </row>
    <row r="16" spans="2:7">
      <c r="B16" s="50" t="s">
        <v>25</v>
      </c>
      <c r="C16" s="52">
        <f>UDL1d+2+PUDL1d</f>
        <v>7.51</v>
      </c>
      <c r="D16" s="53">
        <f>UDL1d+2+PUDL1d+PUDL1l</f>
        <v>8.51</v>
      </c>
      <c r="E16" s="53">
        <f>UDL1d+2+PUDL1d+PUDL1l</f>
        <v>8.51</v>
      </c>
      <c r="F16" s="53">
        <f>UDL1d+2+PUDL1d</f>
        <v>7.51</v>
      </c>
      <c r="G16" s="53"/>
    </row>
    <row r="17" spans="2:7">
      <c r="B17" s="51"/>
      <c r="C17" s="54"/>
      <c r="D17" s="55"/>
      <c r="E17" s="55"/>
      <c r="F17" s="55"/>
      <c r="G17" s="55"/>
    </row>
    <row r="18" spans="2:7">
      <c r="B18" s="46" t="s">
        <v>278</v>
      </c>
      <c r="C18" s="52">
        <f>IF(OR(PUDL2d&gt;0,PUDL2l&gt;0),0.1+PosPUDL2,0)</f>
        <v>0</v>
      </c>
      <c r="D18" s="53">
        <f>IF(OR(PUDL2d&gt;0,PUDL2l&gt;0),0.1+PosPUDL2,0)</f>
        <v>0</v>
      </c>
      <c r="E18" s="53">
        <f>IF(OR(PUDL2d&gt;0,PUDL2l&gt;0),0.1+PosPUDL2+LePUDL2,0)</f>
        <v>0</v>
      </c>
      <c r="F18" s="53">
        <f>IF(OR(PUDL2d&gt;0,PUDL2l&gt;0),0.1+PosPUDL2+LePUDL2,0)</f>
        <v>0</v>
      </c>
      <c r="G18" s="53"/>
    </row>
    <row r="19" spans="2:7">
      <c r="B19" s="50" t="s">
        <v>2</v>
      </c>
      <c r="C19" s="52">
        <f>UDL1d+2</f>
        <v>5.51</v>
      </c>
      <c r="D19" s="53">
        <f>UDL1d+2+PUDL2d</f>
        <v>5.51</v>
      </c>
      <c r="E19" s="53">
        <f>UDL1d+2+PUDL2d</f>
        <v>5.51</v>
      </c>
      <c r="F19" s="53">
        <f>UDL1d+2</f>
        <v>5.51</v>
      </c>
      <c r="G19" s="53"/>
    </row>
    <row r="20" spans="2:7">
      <c r="B20" s="50" t="s">
        <v>25</v>
      </c>
      <c r="C20" s="52">
        <f>UDL1d+2+PUDL2d</f>
        <v>5.51</v>
      </c>
      <c r="D20" s="53">
        <f>UDL1d+2+PUDL2d+PUDL2l</f>
        <v>5.51</v>
      </c>
      <c r="E20" s="53">
        <f>UDL1d+2+PUDL2d+PUDL2l</f>
        <v>5.51</v>
      </c>
      <c r="F20" s="53">
        <f>UDL1d+2+PUDL2d</f>
        <v>5.51</v>
      </c>
      <c r="G20" s="53"/>
    </row>
    <row r="21" spans="2:7">
      <c r="B21" s="51"/>
      <c r="C21" s="54"/>
      <c r="D21" s="55"/>
      <c r="E21" s="55"/>
      <c r="F21" s="55"/>
      <c r="G21" s="55"/>
    </row>
    <row r="22" spans="2:7">
      <c r="B22" s="46" t="s">
        <v>26</v>
      </c>
      <c r="C22" s="52">
        <f>IF(OR(PLa1d&gt;0,PLa1l&gt;0),0.1+PosPLa1,0)</f>
        <v>3.1</v>
      </c>
      <c r="D22" s="53">
        <f>IF(OR(PLa1d&gt;0,PLa1l&gt;0),0.1+PosPLa1,0)</f>
        <v>3.1</v>
      </c>
      <c r="E22" s="53"/>
      <c r="F22" s="53"/>
      <c r="G22" s="53"/>
    </row>
    <row r="23" spans="2:7">
      <c r="B23" s="50" t="s">
        <v>2</v>
      </c>
      <c r="C23" s="52">
        <f>IF(PLa1d&gt;0,UDL1d+2,0)</f>
        <v>5.51</v>
      </c>
      <c r="D23" s="53">
        <f>IF(PLa1d&gt;0,UDL1d+2+PLa1d,0)</f>
        <v>7.51</v>
      </c>
      <c r="E23" s="53"/>
      <c r="F23" s="53"/>
      <c r="G23" s="53"/>
    </row>
    <row r="24" spans="2:7">
      <c r="B24" s="50" t="s">
        <v>25</v>
      </c>
      <c r="C24" s="52">
        <f>IF(PLa1l&gt;0,UDL1d+2+PLa1d,0)</f>
        <v>7.51</v>
      </c>
      <c r="D24" s="53">
        <f>IF(PLa1l&gt;0,UDL1d+2+PLa1d+PLa1l,0)</f>
        <v>9.51</v>
      </c>
      <c r="E24" s="53"/>
      <c r="F24" s="53"/>
      <c r="G24" s="53"/>
    </row>
    <row r="25" spans="2:7">
      <c r="B25" s="51"/>
      <c r="C25" s="54"/>
      <c r="D25" s="55"/>
      <c r="E25" s="55"/>
      <c r="F25" s="55"/>
      <c r="G25" s="55"/>
    </row>
    <row r="26" spans="2:7">
      <c r="B26" s="46" t="s">
        <v>27</v>
      </c>
      <c r="C26" s="52">
        <f>IF(OR(PLb1d&gt;0,PLb1l&gt;0),0.1+PosPLb1,0)</f>
        <v>0</v>
      </c>
      <c r="D26" s="53">
        <f>IF(OR(PLb1d&gt;0,PLb1l&gt;0),0.1+PosPLb1,0)</f>
        <v>0</v>
      </c>
      <c r="E26" s="53"/>
      <c r="F26" s="53"/>
      <c r="G26" s="53"/>
    </row>
    <row r="27" spans="2:7">
      <c r="B27" s="50" t="s">
        <v>2</v>
      </c>
      <c r="C27" s="52">
        <f>IF(PLb1d&gt;0,UDL1d+2,0)</f>
        <v>0</v>
      </c>
      <c r="D27" s="53">
        <f>IF(PLb1d&gt;0,UDL1d+2+PLb1d,0)</f>
        <v>0</v>
      </c>
      <c r="E27" s="53"/>
      <c r="F27" s="53"/>
      <c r="G27" s="53"/>
    </row>
    <row r="28" spans="2:7">
      <c r="B28" s="50" t="s">
        <v>25</v>
      </c>
      <c r="C28" s="52">
        <f>IF(PLb1l&gt;0,UDL1d+2+PLb1d,0)</f>
        <v>0</v>
      </c>
      <c r="D28" s="53">
        <f>IF(PLb1l&gt;0,UDL1d+2+PLb1d+PLb1l,0)</f>
        <v>0</v>
      </c>
      <c r="E28" s="53"/>
      <c r="F28" s="53"/>
      <c r="G28" s="53"/>
    </row>
    <row r="31" spans="2:7">
      <c r="C31" s="47" t="s">
        <v>37</v>
      </c>
    </row>
    <row r="33" spans="2:105">
      <c r="B33" s="56" t="s">
        <v>36</v>
      </c>
      <c r="C33" s="63">
        <v>0</v>
      </c>
      <c r="D33" s="64">
        <f>8/100</f>
        <v>0.08</v>
      </c>
      <c r="E33" s="64">
        <f>D33+8/100</f>
        <v>0.16</v>
      </c>
      <c r="F33" s="64">
        <f>E33+8/100</f>
        <v>0.24</v>
      </c>
      <c r="G33" s="64">
        <f>F33+8/100</f>
        <v>0.32</v>
      </c>
      <c r="H33" s="64">
        <f>G33+8/100</f>
        <v>0.4</v>
      </c>
      <c r="I33" s="64">
        <f>H33+8/100</f>
        <v>0.48000000000000004</v>
      </c>
      <c r="J33" s="64">
        <f>I33+8/100</f>
        <v>0.56000000000000005</v>
      </c>
      <c r="K33" s="64">
        <f>J33+8/100</f>
        <v>0.64</v>
      </c>
      <c r="L33" s="64">
        <f>K33+8/100</f>
        <v>0.72</v>
      </c>
      <c r="M33" s="64">
        <f>L33+8/100</f>
        <v>0.79999999999999993</v>
      </c>
      <c r="N33" s="64">
        <f>M33+8/100</f>
        <v>0.87999999999999989</v>
      </c>
      <c r="O33" s="64">
        <f>N33+8/100</f>
        <v>0.95999999999999985</v>
      </c>
      <c r="P33" s="64">
        <f>O33+8/100</f>
        <v>1.0399999999999998</v>
      </c>
      <c r="Q33" s="64">
        <f>P33+8/100</f>
        <v>1.1199999999999999</v>
      </c>
      <c r="R33" s="64">
        <f>Q33+8/100</f>
        <v>1.2</v>
      </c>
      <c r="S33" s="64">
        <f>R33+8/100</f>
        <v>1.28</v>
      </c>
      <c r="T33" s="64">
        <f>S33+8/100</f>
        <v>1.36</v>
      </c>
      <c r="U33" s="64">
        <f>T33+8/100</f>
        <v>1.4400000000000002</v>
      </c>
      <c r="V33" s="64">
        <f>U33+8/100</f>
        <v>1.5200000000000002</v>
      </c>
      <c r="W33" s="64">
        <f>V33+8/100</f>
        <v>1.6000000000000003</v>
      </c>
      <c r="X33" s="64">
        <f>W33+8/100</f>
        <v>1.6800000000000004</v>
      </c>
      <c r="Y33" s="64">
        <f>X33+8/100</f>
        <v>1.7600000000000005</v>
      </c>
      <c r="Z33" s="64">
        <f>Y33+8/100</f>
        <v>1.8400000000000005</v>
      </c>
      <c r="AA33" s="64">
        <f>Z33+8/100</f>
        <v>1.9200000000000006</v>
      </c>
      <c r="AB33" s="64">
        <f>AA33+8/100</f>
        <v>2.0000000000000004</v>
      </c>
      <c r="AC33" s="64">
        <f>AB33+8/100</f>
        <v>2.0800000000000005</v>
      </c>
      <c r="AD33" s="64">
        <f>AC33+8/100</f>
        <v>2.1600000000000006</v>
      </c>
      <c r="AE33" s="64">
        <f>AD33+8/100</f>
        <v>2.2400000000000007</v>
      </c>
      <c r="AF33" s="64">
        <f>AE33+8/100</f>
        <v>2.3200000000000007</v>
      </c>
      <c r="AG33" s="64">
        <f>AF33+8/100</f>
        <v>2.4000000000000008</v>
      </c>
      <c r="AH33" s="64">
        <f>AG33+8/100</f>
        <v>2.4800000000000009</v>
      </c>
      <c r="AI33" s="64">
        <f>AH33+8/100</f>
        <v>2.5600000000000009</v>
      </c>
      <c r="AJ33" s="64">
        <f>AI33+8/100</f>
        <v>2.640000000000001</v>
      </c>
      <c r="AK33" s="64">
        <f>AJ33+8/100</f>
        <v>2.7200000000000011</v>
      </c>
      <c r="AL33" s="64">
        <f>AK33+8/100</f>
        <v>2.8000000000000012</v>
      </c>
      <c r="AM33" s="64">
        <f>AL33+8/100</f>
        <v>2.8800000000000012</v>
      </c>
      <c r="AN33" s="64">
        <f>AM33+8/100</f>
        <v>2.9600000000000013</v>
      </c>
      <c r="AO33" s="64">
        <f>AN33+8/100</f>
        <v>3.0400000000000014</v>
      </c>
      <c r="AP33" s="64">
        <f>AO33+8/100</f>
        <v>3.1200000000000014</v>
      </c>
      <c r="AQ33" s="64">
        <f>AP33+8/100</f>
        <v>3.2000000000000015</v>
      </c>
      <c r="AR33" s="64">
        <f>AQ33+8/100</f>
        <v>3.2800000000000016</v>
      </c>
      <c r="AS33" s="64">
        <f>AR33+8/100</f>
        <v>3.3600000000000017</v>
      </c>
      <c r="AT33" s="64">
        <f>AS33+8/100</f>
        <v>3.4400000000000017</v>
      </c>
      <c r="AU33" s="64">
        <f>AT33+8/100</f>
        <v>3.5200000000000018</v>
      </c>
      <c r="AV33" s="64">
        <f>AU33+8/100</f>
        <v>3.6000000000000019</v>
      </c>
      <c r="AW33" s="64">
        <f>AV33+8/100</f>
        <v>3.6800000000000019</v>
      </c>
      <c r="AX33" s="64">
        <f>AW33+8/100</f>
        <v>3.760000000000002</v>
      </c>
      <c r="AY33" s="64">
        <f>AX33+8/100</f>
        <v>3.8400000000000021</v>
      </c>
      <c r="AZ33" s="64">
        <f>AY33+8/100</f>
        <v>3.9200000000000021</v>
      </c>
      <c r="BA33" s="64">
        <f>AZ33+8/100</f>
        <v>4.0000000000000018</v>
      </c>
      <c r="BB33" s="64">
        <f>BA33+8/100</f>
        <v>4.0800000000000018</v>
      </c>
      <c r="BC33" s="64">
        <f>BB33+8/100</f>
        <v>4.1600000000000019</v>
      </c>
      <c r="BD33" s="64">
        <f>BC33+8/100</f>
        <v>4.240000000000002</v>
      </c>
      <c r="BE33" s="64">
        <f>BD33+8/100</f>
        <v>4.3200000000000021</v>
      </c>
      <c r="BF33" s="64">
        <f>BE33+8/100</f>
        <v>4.4000000000000021</v>
      </c>
      <c r="BG33" s="64">
        <f>BF33+8/100</f>
        <v>4.4800000000000022</v>
      </c>
      <c r="BH33" s="64">
        <f>BG33+8/100</f>
        <v>4.5600000000000023</v>
      </c>
      <c r="BI33" s="64">
        <f>BH33+8/100</f>
        <v>4.6400000000000023</v>
      </c>
      <c r="BJ33" s="64">
        <f>BI33+8/100</f>
        <v>4.7200000000000024</v>
      </c>
      <c r="BK33" s="64">
        <f>BJ33+8/100</f>
        <v>4.8000000000000025</v>
      </c>
      <c r="BL33" s="64">
        <f>BK33+8/100</f>
        <v>4.8800000000000026</v>
      </c>
      <c r="BM33" s="64">
        <f>BL33+8/100</f>
        <v>4.9600000000000026</v>
      </c>
      <c r="BN33" s="64">
        <f>BM33+8/100</f>
        <v>5.0400000000000027</v>
      </c>
      <c r="BO33" s="64">
        <f>BN33+8/100</f>
        <v>5.1200000000000028</v>
      </c>
      <c r="BP33" s="64">
        <f>BO33+8/100</f>
        <v>5.2000000000000028</v>
      </c>
      <c r="BQ33" s="64">
        <f>BP33+8/100</f>
        <v>5.2800000000000029</v>
      </c>
      <c r="BR33" s="64">
        <f>BQ33+8/100</f>
        <v>5.360000000000003</v>
      </c>
      <c r="BS33" s="64">
        <f>BR33+8/100</f>
        <v>5.4400000000000031</v>
      </c>
      <c r="BT33" s="64">
        <f>BS33+8/100</f>
        <v>5.5200000000000031</v>
      </c>
      <c r="BU33" s="64">
        <f>BT33+8/100</f>
        <v>5.6000000000000032</v>
      </c>
      <c r="BV33" s="64">
        <f>BU33+8/100</f>
        <v>5.6800000000000033</v>
      </c>
      <c r="BW33" s="64">
        <f>BV33+8/100</f>
        <v>5.7600000000000033</v>
      </c>
      <c r="BX33" s="64">
        <f>BW33+8/100</f>
        <v>5.8400000000000034</v>
      </c>
      <c r="BY33" s="64">
        <f>BX33+8/100</f>
        <v>5.9200000000000035</v>
      </c>
      <c r="BZ33" s="64">
        <f>BY33+8/100</f>
        <v>6.0000000000000036</v>
      </c>
      <c r="CA33" s="64">
        <f>BZ33+8/100</f>
        <v>6.0800000000000036</v>
      </c>
      <c r="CB33" s="64">
        <f>CA33+8/100</f>
        <v>6.1600000000000037</v>
      </c>
      <c r="CC33" s="64">
        <f>CB33+8/100</f>
        <v>6.2400000000000038</v>
      </c>
      <c r="CD33" s="64">
        <f>CC33+8/100</f>
        <v>6.3200000000000038</v>
      </c>
      <c r="CE33" s="64">
        <f>CD33+8/100</f>
        <v>6.4000000000000039</v>
      </c>
      <c r="CF33" s="64">
        <f>CE33+8/100</f>
        <v>6.480000000000004</v>
      </c>
      <c r="CG33" s="64">
        <f>CF33+8/100</f>
        <v>6.5600000000000041</v>
      </c>
      <c r="CH33" s="64">
        <f>CG33+8/100</f>
        <v>6.6400000000000041</v>
      </c>
      <c r="CI33" s="64">
        <f>CH33+8/100</f>
        <v>6.7200000000000042</v>
      </c>
      <c r="CJ33" s="64">
        <f>CI33+8/100</f>
        <v>6.8000000000000043</v>
      </c>
      <c r="CK33" s="64">
        <f>CJ33+8/100</f>
        <v>6.8800000000000043</v>
      </c>
      <c r="CL33" s="64">
        <f>CK33+8/100</f>
        <v>6.9600000000000044</v>
      </c>
      <c r="CM33" s="64">
        <f>CL33+8/100</f>
        <v>7.0400000000000045</v>
      </c>
      <c r="CN33" s="64">
        <f>CM33+8/100</f>
        <v>7.1200000000000045</v>
      </c>
      <c r="CO33" s="64">
        <f>CN33+8/100</f>
        <v>7.2000000000000046</v>
      </c>
      <c r="CP33" s="64">
        <f>CO33+8/100</f>
        <v>7.2800000000000047</v>
      </c>
      <c r="CQ33" s="64">
        <f>CP33+8/100</f>
        <v>7.3600000000000048</v>
      </c>
      <c r="CR33" s="64">
        <f>CQ33+8/100</f>
        <v>7.4400000000000048</v>
      </c>
      <c r="CS33" s="64">
        <f>CR33+8/100</f>
        <v>7.5200000000000049</v>
      </c>
      <c r="CT33" s="64">
        <f>CS33+8/100</f>
        <v>7.600000000000005</v>
      </c>
      <c r="CU33" s="64">
        <f>CT33+8/100</f>
        <v>7.680000000000005</v>
      </c>
      <c r="CV33" s="64">
        <f>CU33+8/100</f>
        <v>7.7600000000000051</v>
      </c>
      <c r="CW33" s="64">
        <f>CV33+8/100</f>
        <v>7.8400000000000052</v>
      </c>
      <c r="CX33" s="64">
        <f>CW33+8/100</f>
        <v>7.9200000000000053</v>
      </c>
      <c r="CY33" s="64">
        <f>CX33+8/100</f>
        <v>8.0000000000000053</v>
      </c>
    </row>
    <row r="34" spans="2:105">
      <c r="B34" s="65" t="s">
        <v>39</v>
      </c>
      <c r="C34" s="66">
        <v>0</v>
      </c>
      <c r="D34" s="67">
        <f>-RL1d*D33+UDL1d*D33^2/2+IF(D33&gt;PosPUDL1,PUDL1d*(D33-PosPUDL1)^2/2,0)+IF(D33&gt;(PosPUDL1+3),-PUDL1d*(D33-PosPUDL1-3)^2/2,0)+IF(D33&gt;PosPUDL2,PUDL2d*(D33-PosPUDL2)^2/2,0)+IF(D33&gt;(PosPUDL2+LePUDL2),-PUDL2d*(D33-PosPUDL2-LePUDL2)^2/2,0)+IF(D33&gt;PosPLa1,PLa1d*(D33-PosPLa1),0)+IF(D33&gt;PosPLb1,PLb1d*(D33-PosPLb1),0)</f>
        <v>-1.541968</v>
      </c>
      <c r="E34" s="67">
        <f>-RL1d*E33+UDL1d*E33^2/2+IF(E33&gt;PosPUDL1,PUDL1d*(E33-PosPUDL1)^2/2,0)+IF(E33&gt;(PosPUDL1+3),-PUDL1d*(E33-PosPUDL1-3)^2/2,0)+IF(E33&gt;PosPUDL2,PUDL2d*(E33-PosPUDL2)^2/2,0)+IF(E33&gt;(PosPUDL2+LePUDL2),-PUDL2d*(E33-PosPUDL2-LePUDL2)^2/2,0)+IF(E33&gt;PosPLa1,PLa1d*(E33-PosPLa1),0)+IF(E33&gt;PosPLb1,PLb1d*(E33-PosPLb1),0)</f>
        <v>-3.0614719999999997</v>
      </c>
      <c r="F34" s="67">
        <f>-RL1d*F33+UDL1d*F33^2/2+IF(F33&gt;PosPUDL1,PUDL1d*(F33-PosPUDL1)^2/2,0)+IF(F33&gt;(PosPUDL1+3),-PUDL1d*(F33-PosPUDL1-3)^2/2,0)+IF(F33&gt;PosPUDL2,PUDL2d*(F33-PosPUDL2)^2/2,0)+IF(F33&gt;(PosPUDL2+LePUDL2),-PUDL2d*(F33-PosPUDL2-LePUDL2)^2/2,0)+IF(F33&gt;PosPLa1,PLa1d*(F33-PosPLa1),0)+IF(F33&gt;PosPLb1,PLb1d*(F33-PosPLb1),0)</f>
        <v>-4.5585119999999995</v>
      </c>
      <c r="G34" s="67">
        <f>-RL1d*G33+UDL1d*G33^2/2+IF(G33&gt;PosPUDL1,PUDL1d*(G33-PosPUDL1)^2/2,0)+IF(G33&gt;(PosPUDL1+3),-PUDL1d*(G33-PosPUDL1-3)^2/2,0)+IF(G33&gt;PosPUDL2,PUDL2d*(G33-PosPUDL2)^2/2,0)+IF(G33&gt;(PosPUDL2+LePUDL2),-PUDL2d*(G33-PosPUDL2-LePUDL2)^2/2,0)+IF(G33&gt;PosPLa1,PLa1d*(G33-PosPLa1),0)+IF(G33&gt;PosPLb1,PLb1d*(G33-PosPLb1),0)</f>
        <v>-6.0330879999999993</v>
      </c>
      <c r="H34" s="67">
        <f>-RL1d*H33+UDL1d*H33^2/2+IF(H33&gt;PosPUDL1,PUDL1d*(H33-PosPUDL1)^2/2,0)+IF(H33&gt;(PosPUDL1+3),-PUDL1d*(H33-PosPUDL1-3)^2/2,0)+IF(H33&gt;PosPUDL2,PUDL2d*(H33-PosPUDL2)^2/2,0)+IF(H33&gt;(PosPUDL2+LePUDL2),-PUDL2d*(H33-PosPUDL2-LePUDL2)^2/2,0)+IF(H33&gt;PosPLa1,PLa1d*(H33-PosPLa1),0)+IF(H33&gt;PosPLb1,PLb1d*(H33-PosPLb1),0)</f>
        <v>-7.4851999999999999</v>
      </c>
      <c r="I34" s="67">
        <f>-RL1d*I33+UDL1d*I33^2/2+IF(I33&gt;PosPUDL1,PUDL1d*(I33-PosPUDL1)^2/2,0)+IF(I33&gt;(PosPUDL1+3),-PUDL1d*(I33-PosPUDL1-3)^2/2,0)+IF(I33&gt;PosPUDL2,PUDL2d*(I33-PosPUDL2)^2/2,0)+IF(I33&gt;(PosPUDL2+LePUDL2),-PUDL2d*(I33-PosPUDL2-LePUDL2)^2/2,0)+IF(I33&gt;PosPLa1,PLa1d*(I33-PosPLa1),0)+IF(I33&gt;PosPLb1,PLb1d*(I33-PosPLb1),0)</f>
        <v>-8.914848000000001</v>
      </c>
      <c r="J34" s="67">
        <f>-RL1d*J33+UDL1d*J33^2/2+IF(J33&gt;PosPUDL1,PUDL1d*(J33-PosPUDL1)^2/2,0)+IF(J33&gt;(PosPUDL1+3),-PUDL1d*(J33-PosPUDL1-3)^2/2,0)+IF(J33&gt;PosPUDL2,PUDL2d*(J33-PosPUDL2)^2/2,0)+IF(J33&gt;(PosPUDL2+LePUDL2),-PUDL2d*(J33-PosPUDL2-LePUDL2)^2/2,0)+IF(J33&gt;PosPLa1,PLa1d*(J33-PosPLa1),0)+IF(J33&gt;PosPLb1,PLb1d*(J33-PosPLb1),0)</f>
        <v>-10.322032</v>
      </c>
      <c r="K34" s="67">
        <f>-RL1d*K33+UDL1d*K33^2/2+IF(K33&gt;PosPUDL1,PUDL1d*(K33-PosPUDL1)^2/2,0)+IF(K33&gt;(PosPUDL1+3),-PUDL1d*(K33-PosPUDL1-3)^2/2,0)+IF(K33&gt;PosPUDL2,PUDL2d*(K33-PosPUDL2)^2/2,0)+IF(K33&gt;(PosPUDL2+LePUDL2),-PUDL2d*(K33-PosPUDL2-LePUDL2)^2/2,0)+IF(K33&gt;PosPLa1,PLa1d*(K33-PosPLa1),0)+IF(K33&gt;PosPLb1,PLb1d*(K33-PosPLb1),0)</f>
        <v>-11.706752</v>
      </c>
      <c r="L34" s="67">
        <f>-RL1d*L33+UDL1d*L33^2/2+IF(L33&gt;PosPUDL1,PUDL1d*(L33-PosPUDL1)^2/2,0)+IF(L33&gt;(PosPUDL1+3),-PUDL1d*(L33-PosPUDL1-3)^2/2,0)+IF(L33&gt;PosPUDL2,PUDL2d*(L33-PosPUDL2)^2/2,0)+IF(L33&gt;(PosPUDL2+LePUDL2),-PUDL2d*(L33-PosPUDL2-LePUDL2)^2/2,0)+IF(L33&gt;PosPLa1,PLa1d*(L33-PosPLa1),0)+IF(L33&gt;PosPLb1,PLb1d*(L33-PosPLb1),0)</f>
        <v>-13.069008</v>
      </c>
      <c r="M34" s="67">
        <f>-RL1d*M33+UDL1d*M33^2/2+IF(M33&gt;PosPUDL1,PUDL1d*(M33-PosPUDL1)^2/2,0)+IF(M33&gt;(PosPUDL1+3),-PUDL1d*(M33-PosPUDL1-3)^2/2,0)+IF(M33&gt;PosPUDL2,PUDL2d*(M33-PosPUDL2)^2/2,0)+IF(M33&gt;(PosPUDL2+LePUDL2),-PUDL2d*(M33-PosPUDL2-LePUDL2)^2/2,0)+IF(M33&gt;PosPLa1,PLa1d*(M33-PosPLa1),0)+IF(M33&gt;PosPLb1,PLb1d*(M33-PosPLb1),0)</f>
        <v>-14.408799999999999</v>
      </c>
      <c r="N34" s="67">
        <f>-RL1d*N33+UDL1d*N33^2/2+IF(N33&gt;PosPUDL1,PUDL1d*(N33-PosPUDL1)^2/2,0)+IF(N33&gt;(PosPUDL1+3),-PUDL1d*(N33-PosPUDL1-3)^2/2,0)+IF(N33&gt;PosPUDL2,PUDL2d*(N33-PosPUDL2)^2/2,0)+IF(N33&gt;(PosPUDL2+LePUDL2),-PUDL2d*(N33-PosPUDL2-LePUDL2)^2/2,0)+IF(N33&gt;PosPLa1,PLa1d*(N33-PosPLa1),0)+IF(N33&gt;PosPLb1,PLb1d*(N33-PosPLb1),0)</f>
        <v>-15.726127999999997</v>
      </c>
      <c r="O34" s="67">
        <f>-RL1d*O33+UDL1d*O33^2/2+IF(O33&gt;PosPUDL1,PUDL1d*(O33-PosPUDL1)^2/2,0)+IF(O33&gt;(PosPUDL1+3),-PUDL1d*(O33-PosPUDL1-3)^2/2,0)+IF(O33&gt;PosPUDL2,PUDL2d*(O33-PosPUDL2)^2/2,0)+IF(O33&gt;(PosPUDL2+LePUDL2),-PUDL2d*(O33-PosPUDL2-LePUDL2)^2/2,0)+IF(O33&gt;PosPLa1,PLa1d*(O33-PosPLa1),0)+IF(O33&gt;PosPLb1,PLb1d*(O33-PosPLb1),0)</f>
        <v>-17.020991999999996</v>
      </c>
      <c r="P34" s="67">
        <f>-RL1d*P33+UDL1d*P33^2/2+IF(P33&gt;PosPUDL1,PUDL1d*(P33-PosPUDL1)^2/2,0)+IF(P33&gt;(PosPUDL1+3),-PUDL1d*(P33-PosPUDL1-3)^2/2,0)+IF(P33&gt;PosPUDL2,PUDL2d*(P33-PosPUDL2)^2/2,0)+IF(P33&gt;(PosPUDL2+LePUDL2),-PUDL2d*(P33-PosPUDL2-LePUDL2)^2/2,0)+IF(P33&gt;PosPLa1,PLa1d*(P33-PosPLa1),0)+IF(P33&gt;PosPLb1,PLb1d*(P33-PosPLb1),0)</f>
        <v>-18.291791999999994</v>
      </c>
      <c r="Q34" s="67">
        <f>-RL1d*Q33+UDL1d*Q33^2/2+IF(Q33&gt;PosPUDL1,PUDL1d*(Q33-PosPUDL1)^2/2,0)+IF(Q33&gt;(PosPUDL1+3),-PUDL1d*(Q33-PosPUDL1-3)^2/2,0)+IF(Q33&gt;PosPUDL2,PUDL2d*(Q33-PosPUDL2)^2/2,0)+IF(Q33&gt;(PosPUDL2+LePUDL2),-PUDL2d*(Q33-PosPUDL2-LePUDL2)^2/2,0)+IF(Q33&gt;PosPLa1,PLa1d*(Q33-PosPLa1),0)+IF(Q33&gt;PosPLb1,PLb1d*(Q33-PosPLb1),0)</f>
        <v>-19.528928000000001</v>
      </c>
      <c r="R34" s="67">
        <f>-RL1d*R33+UDL1d*R33^2/2+IF(R33&gt;PosPUDL1,PUDL1d*(R33-PosPUDL1)^2/2,0)+IF(R33&gt;(PosPUDL1+3),-PUDL1d*(R33-PosPUDL1-3)^2/2,0)+IF(R33&gt;PosPUDL2,PUDL2d*(R33-PosPUDL2)^2/2,0)+IF(R33&gt;(PosPUDL2+LePUDL2),-PUDL2d*(R33-PosPUDL2-LePUDL2)^2/2,0)+IF(R33&gt;PosPLa1,PLa1d*(R33-PosPLa1),0)+IF(R33&gt;PosPLb1,PLb1d*(R33-PosPLb1),0)</f>
        <v>-20.730799999999999</v>
      </c>
      <c r="S34" s="67">
        <f>-RL1d*S33+UDL1d*S33^2/2+IF(S33&gt;PosPUDL1,PUDL1d*(S33-PosPUDL1)^2/2,0)+IF(S33&gt;(PosPUDL1+3),-PUDL1d*(S33-PosPUDL1-3)^2/2,0)+IF(S33&gt;PosPUDL2,PUDL2d*(S33-PosPUDL2)^2/2,0)+IF(S33&gt;(PosPUDL2+LePUDL2),-PUDL2d*(S33-PosPUDL2-LePUDL2)^2/2,0)+IF(S33&gt;PosPLa1,PLa1d*(S33-PosPLa1),0)+IF(S33&gt;PosPLb1,PLb1d*(S33-PosPLb1),0)</f>
        <v>-21.897407999999999</v>
      </c>
      <c r="T34" s="67">
        <f>-RL1d*T33+UDL1d*T33^2/2+IF(T33&gt;PosPUDL1,PUDL1d*(T33-PosPUDL1)^2/2,0)+IF(T33&gt;(PosPUDL1+3),-PUDL1d*(T33-PosPUDL1-3)^2/2,0)+IF(T33&gt;PosPUDL2,PUDL2d*(T33-PosPUDL2)^2/2,0)+IF(T33&gt;(PosPUDL2+LePUDL2),-PUDL2d*(T33-PosPUDL2-LePUDL2)^2/2,0)+IF(T33&gt;PosPLa1,PLa1d*(T33-PosPLa1),0)+IF(T33&gt;PosPLb1,PLb1d*(T33-PosPLb1),0)</f>
        <v>-23.028751999999997</v>
      </c>
      <c r="U34" s="67">
        <f>-RL1d*U33+UDL1d*U33^2/2+IF(U33&gt;PosPUDL1,PUDL1d*(U33-PosPUDL1)^2/2,0)+IF(U33&gt;(PosPUDL1+3),-PUDL1d*(U33-PosPUDL1-3)^2/2,0)+IF(U33&gt;PosPUDL2,PUDL2d*(U33-PosPUDL2)^2/2,0)+IF(U33&gt;(PosPUDL2+LePUDL2),-PUDL2d*(U33-PosPUDL2-LePUDL2)^2/2,0)+IF(U33&gt;PosPLa1,PLa1d*(U33-PosPLa1),0)+IF(U33&gt;PosPLb1,PLb1d*(U33-PosPLb1),0)</f>
        <v>-24.124832000000001</v>
      </c>
      <c r="V34" s="67">
        <f>-RL1d*V33+UDL1d*V33^2/2+IF(V33&gt;PosPUDL1,PUDL1d*(V33-PosPUDL1)^2/2,0)+IF(V33&gt;(PosPUDL1+3),-PUDL1d*(V33-PosPUDL1-3)^2/2,0)+IF(V33&gt;PosPUDL2,PUDL2d*(V33-PosPUDL2)^2/2,0)+IF(V33&gt;(PosPUDL2+LePUDL2),-PUDL2d*(V33-PosPUDL2-LePUDL2)^2/2,0)+IF(V33&gt;PosPLa1,PLa1d*(V33-PosPLa1),0)+IF(V33&gt;PosPLb1,PLb1d*(V33-PosPLb1),0)</f>
        <v>-25.185648000000004</v>
      </c>
      <c r="W34" s="67">
        <f>-RL1d*W33+UDL1d*W33^2/2+IF(W33&gt;PosPUDL1,PUDL1d*(W33-PosPUDL1)^2/2,0)+IF(W33&gt;(PosPUDL1+3),-PUDL1d*(W33-PosPUDL1-3)^2/2,0)+IF(W33&gt;PosPUDL2,PUDL2d*(W33-PosPUDL2)^2/2,0)+IF(W33&gt;(PosPUDL2+LePUDL2),-PUDL2d*(W33-PosPUDL2-LePUDL2)^2/2,0)+IF(W33&gt;PosPLa1,PLa1d*(W33-PosPLa1),0)+IF(W33&gt;PosPLb1,PLb1d*(W33-PosPLb1),0)</f>
        <v>-26.211200000000002</v>
      </c>
      <c r="X34" s="67">
        <f>-RL1d*X33+UDL1d*X33^2/2+IF(X33&gt;PosPUDL1,PUDL1d*(X33-PosPUDL1)^2/2,0)+IF(X33&gt;(PosPUDL1+3),-PUDL1d*(X33-PosPUDL1-3)^2/2,0)+IF(X33&gt;PosPUDL2,PUDL2d*(X33-PosPUDL2)^2/2,0)+IF(X33&gt;(PosPUDL2+LePUDL2),-PUDL2d*(X33-PosPUDL2-LePUDL2)^2/2,0)+IF(X33&gt;PosPLa1,PLa1d*(X33-PosPLa1),0)+IF(X33&gt;PosPLb1,PLb1d*(X33-PosPLb1),0)</f>
        <v>-27.201488000000001</v>
      </c>
      <c r="Y34" s="67">
        <f>-RL1d*Y33+UDL1d*Y33^2/2+IF(Y33&gt;PosPUDL1,PUDL1d*(Y33-PosPUDL1)^2/2,0)+IF(Y33&gt;(PosPUDL1+3),-PUDL1d*(Y33-PosPUDL1-3)^2/2,0)+IF(Y33&gt;PosPUDL2,PUDL2d*(Y33-PosPUDL2)^2/2,0)+IF(Y33&gt;(PosPUDL2+LePUDL2),-PUDL2d*(Y33-PosPUDL2-LePUDL2)^2/2,0)+IF(Y33&gt;PosPLa1,PLa1d*(Y33-PosPLa1),0)+IF(Y33&gt;PosPLb1,PLb1d*(Y33-PosPLb1),0)</f>
        <v>-28.156512000000003</v>
      </c>
      <c r="Z34" s="67">
        <f>-RL1d*Z33+UDL1d*Z33^2/2+IF(Z33&gt;PosPUDL1,PUDL1d*(Z33-PosPUDL1)^2/2,0)+IF(Z33&gt;(PosPUDL1+3),-PUDL1d*(Z33-PosPUDL1-3)^2/2,0)+IF(Z33&gt;PosPUDL2,PUDL2d*(Z33-PosPUDL2)^2/2,0)+IF(Z33&gt;(PosPUDL2+LePUDL2),-PUDL2d*(Z33-PosPUDL2-LePUDL2)^2/2,0)+IF(Z33&gt;PosPLa1,PLa1d*(Z33-PosPLa1),0)+IF(Z33&gt;PosPLb1,PLb1d*(Z33-PosPLb1),0)</f>
        <v>-29.076272000000007</v>
      </c>
      <c r="AA34" s="67">
        <f>-RL1d*AA33+UDL1d*AA33^2/2+IF(AA33&gt;PosPUDL1,PUDL1d*(AA33-PosPUDL1)^2/2,0)+IF(AA33&gt;(PosPUDL1+3),-PUDL1d*(AA33-PosPUDL1-3)^2/2,0)+IF(AA33&gt;PosPUDL2,PUDL2d*(AA33-PosPUDL2)^2/2,0)+IF(AA33&gt;(PosPUDL2+LePUDL2),-PUDL2d*(AA33-PosPUDL2-LePUDL2)^2/2,0)+IF(AA33&gt;PosPLa1,PLa1d*(AA33-PosPLa1),0)+IF(AA33&gt;PosPLb1,PLb1d*(AA33-PosPLb1),0)</f>
        <v>-29.960768000000002</v>
      </c>
      <c r="AB34" s="67">
        <f>-RL1d*AB33+UDL1d*AB33^2/2+IF(AB33&gt;PosPUDL1,PUDL1d*(AB33-PosPUDL1)^2/2,0)+IF(AB33&gt;(PosPUDL1+3),-PUDL1d*(AB33-PosPUDL1-3)^2/2,0)+IF(AB33&gt;PosPUDL2,PUDL2d*(AB33-PosPUDL2)^2/2,0)+IF(AB33&gt;(PosPUDL2+LePUDL2),-PUDL2d*(AB33-PosPUDL2-LePUDL2)^2/2,0)+IF(AB33&gt;PosPLa1,PLa1d*(AB33-PosPLa1),0)+IF(AB33&gt;PosPLb1,PLb1d*(AB33-PosPLb1),0)</f>
        <v>-30.810000000000002</v>
      </c>
      <c r="AC34" s="67">
        <f>-RL1d*AC33+UDL1d*AC33^2/2+IF(AC33&gt;PosPUDL1,PUDL1d*(AC33-PosPUDL1)^2/2,0)+IF(AC33&gt;(PosPUDL1+3),-PUDL1d*(AC33-PosPUDL1-3)^2/2,0)+IF(AC33&gt;PosPUDL2,PUDL2d*(AC33-PosPUDL2)^2/2,0)+IF(AC33&gt;(PosPUDL2+LePUDL2),-PUDL2d*(AC33-PosPUDL2-LePUDL2)^2/2,0)+IF(AC33&gt;PosPLa1,PLa1d*(AC33-PosPLa1),0)+IF(AC33&gt;PosPLb1,PLb1d*(AC33-PosPLb1),0)</f>
        <v>-31.623968000000005</v>
      </c>
      <c r="AD34" s="67">
        <f>-RL1d*AD33+UDL1d*AD33^2/2+IF(AD33&gt;PosPUDL1,PUDL1d*(AD33-PosPUDL1)^2/2,0)+IF(AD33&gt;(PosPUDL1+3),-PUDL1d*(AD33-PosPUDL1-3)^2/2,0)+IF(AD33&gt;PosPUDL2,PUDL2d*(AD33-PosPUDL2)^2/2,0)+IF(AD33&gt;(PosPUDL2+LePUDL2),-PUDL2d*(AD33-PosPUDL2-LePUDL2)^2/2,0)+IF(AD33&gt;PosPLa1,PLa1d*(AD33-PosPLa1),0)+IF(AD33&gt;PosPLb1,PLb1d*(AD33-PosPLb1),0)</f>
        <v>-32.402671999999995</v>
      </c>
      <c r="AE34" s="67">
        <f>-RL1d*AE33+UDL1d*AE33^2/2+IF(AE33&gt;PosPUDL1,PUDL1d*(AE33-PosPUDL1)^2/2,0)+IF(AE33&gt;(PosPUDL1+3),-PUDL1d*(AE33-PosPUDL1-3)^2/2,0)+IF(AE33&gt;PosPUDL2,PUDL2d*(AE33-PosPUDL2)^2/2,0)+IF(AE33&gt;(PosPUDL2+LePUDL2),-PUDL2d*(AE33-PosPUDL2-LePUDL2)^2/2,0)+IF(AE33&gt;PosPLa1,PLa1d*(AE33-PosPLa1),0)+IF(AE33&gt;PosPLb1,PLb1d*(AE33-PosPLb1),0)</f>
        <v>-33.146112000000002</v>
      </c>
      <c r="AF34" s="67">
        <f>-RL1d*AF33+UDL1d*AF33^2/2+IF(AF33&gt;PosPUDL1,PUDL1d*(AF33-PosPUDL1)^2/2,0)+IF(AF33&gt;(PosPUDL1+3),-PUDL1d*(AF33-PosPUDL1-3)^2/2,0)+IF(AF33&gt;PosPUDL2,PUDL2d*(AF33-PosPUDL2)^2/2,0)+IF(AF33&gt;(PosPUDL2+LePUDL2),-PUDL2d*(AF33-PosPUDL2-LePUDL2)^2/2,0)+IF(AF33&gt;PosPLa1,PLa1d*(AF33-PosPLa1),0)+IF(AF33&gt;PosPLb1,PLb1d*(AF33-PosPLb1),0)</f>
        <v>-33.854288000000004</v>
      </c>
      <c r="AG34" s="67">
        <f>-RL1d*AG33+UDL1d*AG33^2/2+IF(AG33&gt;PosPUDL1,PUDL1d*(AG33-PosPUDL1)^2/2,0)+IF(AG33&gt;(PosPUDL1+3),-PUDL1d*(AG33-PosPUDL1-3)^2/2,0)+IF(AG33&gt;PosPUDL2,PUDL2d*(AG33-PosPUDL2)^2/2,0)+IF(AG33&gt;(PosPUDL2+LePUDL2),-PUDL2d*(AG33-PosPUDL2-LePUDL2)^2/2,0)+IF(AG33&gt;PosPLa1,PLa1d*(AG33-PosPLa1),0)+IF(AG33&gt;PosPLb1,PLb1d*(AG33-PosPLb1),0)</f>
        <v>-34.527200000000001</v>
      </c>
      <c r="AH34" s="67">
        <f>-RL1d*AH33+UDL1d*AH33^2/2+IF(AH33&gt;PosPUDL1,PUDL1d*(AH33-PosPUDL1)^2/2,0)+IF(AH33&gt;(PosPUDL1+3),-PUDL1d*(AH33-PosPUDL1-3)^2/2,0)+IF(AH33&gt;PosPUDL2,PUDL2d*(AH33-PosPUDL2)^2/2,0)+IF(AH33&gt;(PosPUDL2+LePUDL2),-PUDL2d*(AH33-PosPUDL2-LePUDL2)^2/2,0)+IF(AH33&gt;PosPLa1,PLa1d*(AH33-PosPLa1),0)+IF(AH33&gt;PosPLb1,PLb1d*(AH33-PosPLb1),0)</f>
        <v>-35.164847999999999</v>
      </c>
      <c r="AI34" s="67">
        <f>-RL1d*AI33+UDL1d*AI33^2/2+IF(AI33&gt;PosPUDL1,PUDL1d*(AI33-PosPUDL1)^2/2,0)+IF(AI33&gt;(PosPUDL1+3),-PUDL1d*(AI33-PosPUDL1-3)^2/2,0)+IF(AI33&gt;PosPUDL2,PUDL2d*(AI33-PosPUDL2)^2/2,0)+IF(AI33&gt;(PosPUDL2+LePUDL2),-PUDL2d*(AI33-PosPUDL2-LePUDL2)^2/2,0)+IF(AI33&gt;PosPLa1,PLa1d*(AI33-PosPLa1),0)+IF(AI33&gt;PosPLb1,PLb1d*(AI33-PosPLb1),0)</f>
        <v>-35.767232000000007</v>
      </c>
      <c r="AJ34" s="67">
        <f>-RL1d*AJ33+UDL1d*AJ33^2/2+IF(AJ33&gt;PosPUDL1,PUDL1d*(AJ33-PosPUDL1)^2/2,0)+IF(AJ33&gt;(PosPUDL1+3),-PUDL1d*(AJ33-PosPUDL1-3)^2/2,0)+IF(AJ33&gt;PosPUDL2,PUDL2d*(AJ33-PosPUDL2)^2/2,0)+IF(AJ33&gt;(PosPUDL2+LePUDL2),-PUDL2d*(AJ33-PosPUDL2-LePUDL2)^2/2,0)+IF(AJ33&gt;PosPLa1,PLa1d*(AJ33-PosPLa1),0)+IF(AJ33&gt;PosPLb1,PLb1d*(AJ33-PosPLb1),0)</f>
        <v>-36.334352000000003</v>
      </c>
      <c r="AK34" s="67">
        <f>-RL1d*AK33+UDL1d*AK33^2/2+IF(AK33&gt;PosPUDL1,PUDL1d*(AK33-PosPUDL1)^2/2,0)+IF(AK33&gt;(PosPUDL1+3),-PUDL1d*(AK33-PosPUDL1-3)^2/2,0)+IF(AK33&gt;PosPUDL2,PUDL2d*(AK33-PosPUDL2)^2/2,0)+IF(AK33&gt;(PosPUDL2+LePUDL2),-PUDL2d*(AK33-PosPUDL2-LePUDL2)^2/2,0)+IF(AK33&gt;PosPLa1,PLa1d*(AK33-PosPLa1),0)+IF(AK33&gt;PosPLb1,PLb1d*(AK33-PosPLb1),0)</f>
        <v>-36.866208000000007</v>
      </c>
      <c r="AL34" s="67">
        <f>-RL1d*AL33+UDL1d*AL33^2/2+IF(AL33&gt;PosPUDL1,PUDL1d*(AL33-PosPUDL1)^2/2,0)+IF(AL33&gt;(PosPUDL1+3),-PUDL1d*(AL33-PosPUDL1-3)^2/2,0)+IF(AL33&gt;PosPUDL2,PUDL2d*(AL33-PosPUDL2)^2/2,0)+IF(AL33&gt;(PosPUDL2+LePUDL2),-PUDL2d*(AL33-PosPUDL2-LePUDL2)^2/2,0)+IF(AL33&gt;PosPLa1,PLa1d*(AL33-PosPLa1),0)+IF(AL33&gt;PosPLb1,PLb1d*(AL33-PosPLb1),0)</f>
        <v>-37.362800000000014</v>
      </c>
      <c r="AM34" s="67">
        <f>-RL1d*AM33+UDL1d*AM33^2/2+IF(AM33&gt;PosPUDL1,PUDL1d*(AM33-PosPUDL1)^2/2,0)+IF(AM33&gt;(PosPUDL1+3),-PUDL1d*(AM33-PosPUDL1-3)^2/2,0)+IF(AM33&gt;PosPUDL2,PUDL2d*(AM33-PosPUDL2)^2/2,0)+IF(AM33&gt;(PosPUDL2+LePUDL2),-PUDL2d*(AM33-PosPUDL2-LePUDL2)^2/2,0)+IF(AM33&gt;PosPLa1,PLa1d*(AM33-PosPLa1),0)+IF(AM33&gt;PosPLb1,PLb1d*(AM33-PosPLb1),0)</f>
        <v>-37.824128000000002</v>
      </c>
      <c r="AN34" s="67">
        <f>-RL1d*AN33+UDL1d*AN33^2/2+IF(AN33&gt;PosPUDL1,PUDL1d*(AN33-PosPUDL1)^2/2,0)+IF(AN33&gt;(PosPUDL1+3),-PUDL1d*(AN33-PosPUDL1-3)^2/2,0)+IF(AN33&gt;PosPUDL2,PUDL2d*(AN33-PosPUDL2)^2/2,0)+IF(AN33&gt;(PosPUDL2+LePUDL2),-PUDL2d*(AN33-PosPUDL2-LePUDL2)^2/2,0)+IF(AN33&gt;PosPLa1,PLa1d*(AN33-PosPLa1),0)+IF(AN33&gt;PosPLb1,PLb1d*(AN33-PosPLb1),0)</f>
        <v>-38.250192000000006</v>
      </c>
      <c r="AO34" s="67">
        <f>-RL1d*AO33+UDL1d*AO33^2/2+IF(AO33&gt;PosPUDL1,PUDL1d*(AO33-PosPUDL1)^2/2,0)+IF(AO33&gt;(PosPUDL1+3),-PUDL1d*(AO33-PosPUDL1-3)^2/2,0)+IF(AO33&gt;PosPUDL2,PUDL2d*(AO33-PosPUDL2)^2/2,0)+IF(AO33&gt;(PosPUDL2+LePUDL2),-PUDL2d*(AO33-PosPUDL2-LePUDL2)^2/2,0)+IF(AO33&gt;PosPLa1,PLa1d*(AO33-PosPLa1),0)+IF(AO33&gt;PosPLb1,PLb1d*(AO33-PosPLb1),0)</f>
        <v>-38.560991999999992</v>
      </c>
      <c r="AP34" s="67">
        <f>-RL1d*AP33+UDL1d*AP33^2/2+IF(AP33&gt;PosPUDL1,PUDL1d*(AP33-PosPUDL1)^2/2,0)+IF(AP33&gt;(PosPUDL1+3),-PUDL1d*(AP33-PosPUDL1-3)^2/2,0)+IF(AP33&gt;PosPUDL2,PUDL2d*(AP33-PosPUDL2)^2/2,0)+IF(AP33&gt;(PosPUDL2+LePUDL2),-PUDL2d*(AP33-PosPUDL2-LePUDL2)^2/2,0)+IF(AP33&gt;PosPLa1,PLa1d*(AP33-PosPLa1),0)+IF(AP33&gt;PosPLb1,PLb1d*(AP33-PosPLb1),0)</f>
        <v>-38.756528000000003</v>
      </c>
      <c r="AQ34" s="67">
        <f>-RL1d*AQ33+UDL1d*AQ33^2/2+IF(AQ33&gt;PosPUDL1,PUDL1d*(AQ33-PosPUDL1)^2/2,0)+IF(AQ33&gt;(PosPUDL1+3),-PUDL1d*(AQ33-PosPUDL1-3)^2/2,0)+IF(AQ33&gt;PosPUDL2,PUDL2d*(AQ33-PosPUDL2)^2/2,0)+IF(AQ33&gt;(PosPUDL2+LePUDL2),-PUDL2d*(AQ33-PosPUDL2-LePUDL2)^2/2,0)+IF(AQ33&gt;PosPLa1,PLa1d*(AQ33-PosPLa1),0)+IF(AQ33&gt;PosPLb1,PLb1d*(AQ33-PosPLb1),0)</f>
        <v>-38.916800000000009</v>
      </c>
      <c r="AR34" s="67">
        <f>-RL1d*AR33+UDL1d*AR33^2/2+IF(AR33&gt;PosPUDL1,PUDL1d*(AR33-PosPUDL1)^2/2,0)+IF(AR33&gt;(PosPUDL1+3),-PUDL1d*(AR33-PosPUDL1-3)^2/2,0)+IF(AR33&gt;PosPUDL2,PUDL2d*(AR33-PosPUDL2)^2/2,0)+IF(AR33&gt;(PosPUDL2+LePUDL2),-PUDL2d*(AR33-PosPUDL2-LePUDL2)^2/2,0)+IF(AR33&gt;PosPLa1,PLa1d*(AR33-PosPLa1),0)+IF(AR33&gt;PosPLb1,PLb1d*(AR33-PosPLb1),0)</f>
        <v>-39.041808000000003</v>
      </c>
      <c r="AS34" s="67">
        <f>-RL1d*AS33+UDL1d*AS33^2/2+IF(AS33&gt;PosPUDL1,PUDL1d*(AS33-PosPUDL1)^2/2,0)+IF(AS33&gt;(PosPUDL1+3),-PUDL1d*(AS33-PosPUDL1-3)^2/2,0)+IF(AS33&gt;PosPUDL2,PUDL2d*(AS33-PosPUDL2)^2/2,0)+IF(AS33&gt;(PosPUDL2+LePUDL2),-PUDL2d*(AS33-PosPUDL2-LePUDL2)^2/2,0)+IF(AS33&gt;PosPLa1,PLa1d*(AS33-PosPLa1),0)+IF(AS33&gt;PosPLb1,PLb1d*(AS33-PosPLb1),0)</f>
        <v>-39.131551999999992</v>
      </c>
      <c r="AT34" s="67">
        <f>-RL1d*AT33+UDL1d*AT33^2/2+IF(AT33&gt;PosPUDL1,PUDL1d*(AT33-PosPUDL1)^2/2,0)+IF(AT33&gt;(PosPUDL1+3),-PUDL1d*(AT33-PosPUDL1-3)^2/2,0)+IF(AT33&gt;PosPUDL2,PUDL2d*(AT33-PosPUDL2)^2/2,0)+IF(AT33&gt;(PosPUDL2+LePUDL2),-PUDL2d*(AT33-PosPUDL2-LePUDL2)^2/2,0)+IF(AT33&gt;PosPLa1,PLa1d*(AT33-PosPLa1),0)+IF(AT33&gt;PosPLb1,PLb1d*(AT33-PosPLb1),0)</f>
        <v>-39.186031999999997</v>
      </c>
      <c r="AU34" s="67">
        <f>-RL1d*AU33+UDL1d*AU33^2/2+IF(AU33&gt;PosPUDL1,PUDL1d*(AU33-PosPUDL1)^2/2,0)+IF(AU33&gt;(PosPUDL1+3),-PUDL1d*(AU33-PosPUDL1-3)^2/2,0)+IF(AU33&gt;PosPUDL2,PUDL2d*(AU33-PosPUDL2)^2/2,0)+IF(AU33&gt;(PosPUDL2+LePUDL2),-PUDL2d*(AU33-PosPUDL2-LePUDL2)^2/2,0)+IF(AU33&gt;PosPLa1,PLa1d*(AU33-PosPLa1),0)+IF(AU33&gt;PosPLb1,PLb1d*(AU33-PosPLb1),0)</f>
        <v>-39.205247999999997</v>
      </c>
      <c r="AV34" s="67">
        <f>-RL1d*AV33+UDL1d*AV33^2/2+IF(AV33&gt;PosPUDL1,PUDL1d*(AV33-PosPUDL1)^2/2,0)+IF(AV33&gt;(PosPUDL1+3),-PUDL1d*(AV33-PosPUDL1-3)^2/2,0)+IF(AV33&gt;PosPUDL2,PUDL2d*(AV33-PosPUDL2)^2/2,0)+IF(AV33&gt;(PosPUDL2+LePUDL2),-PUDL2d*(AV33-PosPUDL2-LePUDL2)^2/2,0)+IF(AV33&gt;PosPLa1,PLa1d*(AV33-PosPLa1),0)+IF(AV33&gt;PosPLb1,PLb1d*(AV33-PosPLb1),0)</f>
        <v>-39.189199999999992</v>
      </c>
      <c r="AW34" s="67">
        <f>-RL1d*AW33+UDL1d*AW33^2/2+IF(AW33&gt;PosPUDL1,PUDL1d*(AW33-PosPUDL1)^2/2,0)+IF(AW33&gt;(PosPUDL1+3),-PUDL1d*(AW33-PosPUDL1-3)^2/2,0)+IF(AW33&gt;PosPUDL2,PUDL2d*(AW33-PosPUDL2)^2/2,0)+IF(AW33&gt;(PosPUDL2+LePUDL2),-PUDL2d*(AW33-PosPUDL2-LePUDL2)^2/2,0)+IF(AW33&gt;PosPLa1,PLa1d*(AW33-PosPLa1),0)+IF(AW33&gt;PosPLb1,PLb1d*(AW33-PosPLb1),0)</f>
        <v>-39.137887999999997</v>
      </c>
      <c r="AX34" s="67">
        <f>-RL1d*AX33+UDL1d*AX33^2/2+IF(AX33&gt;PosPUDL1,PUDL1d*(AX33-PosPUDL1)^2/2,0)+IF(AX33&gt;(PosPUDL1+3),-PUDL1d*(AX33-PosPUDL1-3)^2/2,0)+IF(AX33&gt;PosPUDL2,PUDL2d*(AX33-PosPUDL2)^2/2,0)+IF(AX33&gt;(PosPUDL2+LePUDL2),-PUDL2d*(AX33-PosPUDL2-LePUDL2)^2/2,0)+IF(AX33&gt;PosPLa1,PLa1d*(AX33-PosPLa1),0)+IF(AX33&gt;PosPLb1,PLb1d*(AX33-PosPLb1),0)</f>
        <v>-39.051312000000003</v>
      </c>
      <c r="AY34" s="67">
        <f>-RL1d*AY33+UDL1d*AY33^2/2+IF(AY33&gt;PosPUDL1,PUDL1d*(AY33-PosPUDL1)^2/2,0)+IF(AY33&gt;(PosPUDL1+3),-PUDL1d*(AY33-PosPUDL1-3)^2/2,0)+IF(AY33&gt;PosPUDL2,PUDL2d*(AY33-PosPUDL2)^2/2,0)+IF(AY33&gt;(PosPUDL2+LePUDL2),-PUDL2d*(AY33-PosPUDL2-LePUDL2)^2/2,0)+IF(AY33&gt;PosPLa1,PLa1d*(AY33-PosPLa1),0)+IF(AY33&gt;PosPLb1,PLb1d*(AY33-PosPLb1),0)</f>
        <v>-38.92947199999999</v>
      </c>
      <c r="AZ34" s="67">
        <f>-RL1d*AZ33+UDL1d*AZ33^2/2+IF(AZ33&gt;PosPUDL1,PUDL1d*(AZ33-PosPUDL1)^2/2,0)+IF(AZ33&gt;(PosPUDL1+3),-PUDL1d*(AZ33-PosPUDL1-3)^2/2,0)+IF(AZ33&gt;PosPUDL2,PUDL2d*(AZ33-PosPUDL2)^2/2,0)+IF(AZ33&gt;(PosPUDL2+LePUDL2),-PUDL2d*(AZ33-PosPUDL2-LePUDL2)^2/2,0)+IF(AZ33&gt;PosPLa1,PLa1d*(AZ33-PosPLa1),0)+IF(AZ33&gt;PosPLb1,PLb1d*(AZ33-PosPLb1),0)</f>
        <v>-38.772368</v>
      </c>
      <c r="BA34" s="67">
        <f>-RL1d*BA33+UDL1d*BA33^2/2+IF(BA33&gt;PosPUDL1,PUDL1d*(BA33-PosPUDL1)^2/2,0)+IF(BA33&gt;(PosPUDL1+3),-PUDL1d*(BA33-PosPUDL1-3)^2/2,0)+IF(BA33&gt;PosPUDL2,PUDL2d*(BA33-PosPUDL2)^2/2,0)+IF(BA33&gt;(PosPUDL2+LePUDL2),-PUDL2d*(BA33-PosPUDL2-LePUDL2)^2/2,0)+IF(BA33&gt;PosPLa1,PLa1d*(BA33-PosPLa1),0)+IF(BA33&gt;PosPLb1,PLb1d*(BA33-PosPLb1),0)</f>
        <v>-38.579999999999984</v>
      </c>
      <c r="BB34" s="67">
        <f>-RL1d*BB33+UDL1d*BB33^2/2+IF(BB33&gt;PosPUDL1,PUDL1d*(BB33-PosPUDL1)^2/2,0)+IF(BB33&gt;(PosPUDL1+3),-PUDL1d*(BB33-PosPUDL1-3)^2/2,0)+IF(BB33&gt;PosPUDL2,PUDL2d*(BB33-PosPUDL2)^2/2,0)+IF(BB33&gt;(PosPUDL2+LePUDL2),-PUDL2d*(BB33-PosPUDL2-LePUDL2)^2/2,0)+IF(BB33&gt;PosPLa1,PLa1d*(BB33-PosPLa1),0)+IF(BB33&gt;PosPLb1,PLb1d*(BB33-PosPLb1),0)</f>
        <v>-38.358767999999991</v>
      </c>
      <c r="BC34" s="67">
        <f>-RL1d*BC33+UDL1d*BC33^2/2+IF(BC33&gt;PosPUDL1,PUDL1d*(BC33-PosPUDL1)^2/2,0)+IF(BC33&gt;(PosPUDL1+3),-PUDL1d*(BC33-PosPUDL1-3)^2/2,0)+IF(BC33&gt;PosPUDL2,PUDL2d*(BC33-PosPUDL2)^2/2,0)+IF(BC33&gt;(PosPUDL2+LePUDL2),-PUDL2d*(BC33-PosPUDL2-LePUDL2)^2/2,0)+IF(BC33&gt;PosPLa1,PLa1d*(BC33-PosPLa1),0)+IF(BC33&gt;PosPLb1,PLb1d*(BC33-PosPLb1),0)</f>
        <v>-38.115071999999984</v>
      </c>
      <c r="BD34" s="67">
        <f>-RL1d*BD33+UDL1d*BD33^2/2+IF(BD33&gt;PosPUDL1,PUDL1d*(BD33-PosPUDL1)^2/2,0)+IF(BD33&gt;(PosPUDL1+3),-PUDL1d*(BD33-PosPUDL1-3)^2/2,0)+IF(BD33&gt;PosPUDL2,PUDL2d*(BD33-PosPUDL2)^2/2,0)+IF(BD33&gt;(PosPUDL2+LePUDL2),-PUDL2d*(BD33-PosPUDL2-LePUDL2)^2/2,0)+IF(BD33&gt;PosPLa1,PLa1d*(BD33-PosPLa1),0)+IF(BD33&gt;PosPLb1,PLb1d*(BD33-PosPLb1),0)</f>
        <v>-37.848911999999999</v>
      </c>
      <c r="BE34" s="67">
        <f>-RL1d*BE33+UDL1d*BE33^2/2+IF(BE33&gt;PosPUDL1,PUDL1d*(BE33-PosPUDL1)^2/2,0)+IF(BE33&gt;(PosPUDL1+3),-PUDL1d*(BE33-PosPUDL1-3)^2/2,0)+IF(BE33&gt;PosPUDL2,PUDL2d*(BE33-PosPUDL2)^2/2,0)+IF(BE33&gt;(PosPUDL2+LePUDL2),-PUDL2d*(BE33-PosPUDL2-LePUDL2)^2/2,0)+IF(BE33&gt;PosPLa1,PLa1d*(BE33-PosPLa1),0)+IF(BE33&gt;PosPLb1,PLb1d*(BE33-PosPLb1),0)</f>
        <v>-37.560288</v>
      </c>
      <c r="BF34" s="67">
        <f>-RL1d*BF33+UDL1d*BF33^2/2+IF(BF33&gt;PosPUDL1,PUDL1d*(BF33-PosPUDL1)^2/2,0)+IF(BF33&gt;(PosPUDL1+3),-PUDL1d*(BF33-PosPUDL1-3)^2/2,0)+IF(BF33&gt;PosPUDL2,PUDL2d*(BF33-PosPUDL2)^2/2,0)+IF(BF33&gt;(PosPUDL2+LePUDL2),-PUDL2d*(BF33-PosPUDL2-LePUDL2)^2/2,0)+IF(BF33&gt;PosPLa1,PLa1d*(BF33-PosPLa1),0)+IF(BF33&gt;PosPLb1,PLb1d*(BF33-PosPLb1),0)</f>
        <v>-37.249200000000002</v>
      </c>
      <c r="BG34" s="67">
        <f>-RL1d*BG33+UDL1d*BG33^2/2+IF(BG33&gt;PosPUDL1,PUDL1d*(BG33-PosPUDL1)^2/2,0)+IF(BG33&gt;(PosPUDL1+3),-PUDL1d*(BG33-PosPUDL1-3)^2/2,0)+IF(BG33&gt;PosPUDL2,PUDL2d*(BG33-PosPUDL2)^2/2,0)+IF(BG33&gt;(PosPUDL2+LePUDL2),-PUDL2d*(BG33-PosPUDL2-LePUDL2)^2/2,0)+IF(BG33&gt;PosPLa1,PLa1d*(BG33-PosPLa1),0)+IF(BG33&gt;PosPLb1,PLb1d*(BG33-PosPLb1),0)</f>
        <v>-36.91564799999999</v>
      </c>
      <c r="BH34" s="67">
        <f>-RL1d*BH33+UDL1d*BH33^2/2+IF(BH33&gt;PosPUDL1,PUDL1d*(BH33-PosPUDL1)^2/2,0)+IF(BH33&gt;(PosPUDL1+3),-PUDL1d*(BH33-PosPUDL1-3)^2/2,0)+IF(BH33&gt;PosPUDL2,PUDL2d*(BH33-PosPUDL2)^2/2,0)+IF(BH33&gt;(PosPUDL2+LePUDL2),-PUDL2d*(BH33-PosPUDL2-LePUDL2)^2/2,0)+IF(BH33&gt;PosPLa1,PLa1d*(BH33-PosPLa1),0)+IF(BH33&gt;PosPLb1,PLb1d*(BH33-PosPLb1),0)</f>
        <v>-36.559631999999986</v>
      </c>
      <c r="BI34" s="67">
        <f>-RL1d*BI33+UDL1d*BI33^2/2+IF(BI33&gt;PosPUDL1,PUDL1d*(BI33-PosPUDL1)^2/2,0)+IF(BI33&gt;(PosPUDL1+3),-PUDL1d*(BI33-PosPUDL1-3)^2/2,0)+IF(BI33&gt;PosPUDL2,PUDL2d*(BI33-PosPUDL2)^2/2,0)+IF(BI33&gt;(PosPUDL2+LePUDL2),-PUDL2d*(BI33-PosPUDL2-LePUDL2)^2/2,0)+IF(BI33&gt;PosPLa1,PLa1d*(BI33-PosPLa1),0)+IF(BI33&gt;PosPLb1,PLb1d*(BI33-PosPLb1),0)</f>
        <v>-36.181151999999983</v>
      </c>
      <c r="BJ34" s="67">
        <f>-RL1d*BJ33+UDL1d*BJ33^2/2+IF(BJ33&gt;PosPUDL1,PUDL1d*(BJ33-PosPUDL1)^2/2,0)+IF(BJ33&gt;(PosPUDL1+3),-PUDL1d*(BJ33-PosPUDL1-3)^2/2,0)+IF(BJ33&gt;PosPUDL2,PUDL2d*(BJ33-PosPUDL2)^2/2,0)+IF(BJ33&gt;(PosPUDL2+LePUDL2),-PUDL2d*(BJ33-PosPUDL2-LePUDL2)^2/2,0)+IF(BJ33&gt;PosPLa1,PLa1d*(BJ33-PosPLa1),0)+IF(BJ33&gt;PosPLb1,PLb1d*(BJ33-PosPLb1),0)</f>
        <v>-35.780207999999988</v>
      </c>
      <c r="BK34" s="67">
        <f>-RL1d*BK33+UDL1d*BK33^2/2+IF(BK33&gt;PosPUDL1,PUDL1d*(BK33-PosPUDL1)^2/2,0)+IF(BK33&gt;(PosPUDL1+3),-PUDL1d*(BK33-PosPUDL1-3)^2/2,0)+IF(BK33&gt;PosPUDL2,PUDL2d*(BK33-PosPUDL2)^2/2,0)+IF(BK33&gt;(PosPUDL2+LePUDL2),-PUDL2d*(BK33-PosPUDL2-LePUDL2)^2/2,0)+IF(BK33&gt;PosPLa1,PLa1d*(BK33-PosPLa1),0)+IF(BK33&gt;PosPLb1,PLb1d*(BK33-PosPLb1),0)</f>
        <v>-35.356799999999993</v>
      </c>
      <c r="BL34" s="67">
        <f>-RL1d*BL33+UDL1d*BL33^2/2+IF(BL33&gt;PosPUDL1,PUDL1d*(BL33-PosPUDL1)^2/2,0)+IF(BL33&gt;(PosPUDL1+3),-PUDL1d*(BL33-PosPUDL1-3)^2/2,0)+IF(BL33&gt;PosPUDL2,PUDL2d*(BL33-PosPUDL2)^2/2,0)+IF(BL33&gt;(PosPUDL2+LePUDL2),-PUDL2d*(BL33-PosPUDL2-LePUDL2)^2/2,0)+IF(BL33&gt;PosPLa1,PLa1d*(BL33-PosPLa1),0)+IF(BL33&gt;PosPLb1,PLb1d*(BL33-PosPLb1),0)</f>
        <v>-34.910927999999977</v>
      </c>
      <c r="BM34" s="67">
        <f>-RL1d*BM33+UDL1d*BM33^2/2+IF(BM33&gt;PosPUDL1,PUDL1d*(BM33-PosPUDL1)^2/2,0)+IF(BM33&gt;(PosPUDL1+3),-PUDL1d*(BM33-PosPUDL1-3)^2/2,0)+IF(BM33&gt;PosPUDL2,PUDL2d*(BM33-PosPUDL2)^2/2,0)+IF(BM33&gt;(PosPUDL2+LePUDL2),-PUDL2d*(BM33-PosPUDL2-LePUDL2)^2/2,0)+IF(BM33&gt;PosPLa1,PLa1d*(BM33-PosPLa1),0)+IF(BM33&gt;PosPLb1,PLb1d*(BM33-PosPLb1),0)</f>
        <v>-34.442591999999976</v>
      </c>
      <c r="BN34" s="67">
        <f>-RL1d*BN33+UDL1d*BN33^2/2+IF(BN33&gt;PosPUDL1,PUDL1d*(BN33-PosPUDL1)^2/2,0)+IF(BN33&gt;(PosPUDL1+3),-PUDL1d*(BN33-PosPUDL1-3)^2/2,0)+IF(BN33&gt;PosPUDL2,PUDL2d*(BN33-PosPUDL2)^2/2,0)+IF(BN33&gt;(PosPUDL2+LePUDL2),-PUDL2d*(BN33-PosPUDL2-LePUDL2)^2/2,0)+IF(BN33&gt;PosPLa1,PLa1d*(BN33-PosPLa1),0)+IF(BN33&gt;PosPLb1,PLb1d*(BN33-PosPLb1),0)</f>
        <v>-33.95179199999999</v>
      </c>
      <c r="BO34" s="67">
        <f>-RL1d*BO33+UDL1d*BO33^2/2+IF(BO33&gt;PosPUDL1,PUDL1d*(BO33-PosPUDL1)^2/2,0)+IF(BO33&gt;(PosPUDL1+3),-PUDL1d*(BO33-PosPUDL1-3)^2/2,0)+IF(BO33&gt;PosPUDL2,PUDL2d*(BO33-PosPUDL2)^2/2,0)+IF(BO33&gt;(PosPUDL2+LePUDL2),-PUDL2d*(BO33-PosPUDL2-LePUDL2)^2/2,0)+IF(BO33&gt;PosPLa1,PLa1d*(BO33-PosPLa1),0)+IF(BO33&gt;PosPLb1,PLb1d*(BO33-PosPLb1),0)</f>
        <v>-33.438527999999977</v>
      </c>
      <c r="BP34" s="67">
        <f>-RL1d*BP33+UDL1d*BP33^2/2+IF(BP33&gt;PosPUDL1,PUDL1d*(BP33-PosPUDL1)^2/2,0)+IF(BP33&gt;(PosPUDL1+3),-PUDL1d*(BP33-PosPUDL1-3)^2/2,0)+IF(BP33&gt;PosPUDL2,PUDL2d*(BP33-PosPUDL2)^2/2,0)+IF(BP33&gt;(PosPUDL2+LePUDL2),-PUDL2d*(BP33-PosPUDL2-LePUDL2)^2/2,0)+IF(BP33&gt;PosPLa1,PLa1d*(BP33-PosPLa1),0)+IF(BP33&gt;PosPLb1,PLb1d*(BP33-PosPLb1),0)</f>
        <v>-32.902799999999978</v>
      </c>
      <c r="BQ34" s="67">
        <f>-RL1d*BQ33+UDL1d*BQ33^2/2+IF(BQ33&gt;PosPUDL1,PUDL1d*(BQ33-PosPUDL1)^2/2,0)+IF(BQ33&gt;(PosPUDL1+3),-PUDL1d*(BQ33-PosPUDL1-3)^2/2,0)+IF(BQ33&gt;PosPUDL2,PUDL2d*(BQ33-PosPUDL2)^2/2,0)+IF(BQ33&gt;(PosPUDL2+LePUDL2),-PUDL2d*(BQ33-PosPUDL2-LePUDL2)^2/2,0)+IF(BQ33&gt;PosPLa1,PLa1d*(BQ33-PosPLa1),0)+IF(BQ33&gt;PosPLb1,PLb1d*(BQ33-PosPLb1),0)</f>
        <v>-32.34460799999998</v>
      </c>
      <c r="BR34" s="67">
        <f>-RL1d*BR33+UDL1d*BR33^2/2+IF(BR33&gt;PosPUDL1,PUDL1d*(BR33-PosPUDL1)^2/2,0)+IF(BR33&gt;(PosPUDL1+3),-PUDL1d*(BR33-PosPUDL1-3)^2/2,0)+IF(BR33&gt;PosPUDL2,PUDL2d*(BR33-PosPUDL2)^2/2,0)+IF(BR33&gt;(PosPUDL2+LePUDL2),-PUDL2d*(BR33-PosPUDL2-LePUDL2)^2/2,0)+IF(BR33&gt;PosPLa1,PLa1d*(BR33-PosPLa1),0)+IF(BR33&gt;PosPLb1,PLb1d*(BR33-PosPLb1),0)</f>
        <v>-31.763951999999968</v>
      </c>
      <c r="BS34" s="67">
        <f>-RL1d*BS33+UDL1d*BS33^2/2+IF(BS33&gt;PosPUDL1,PUDL1d*(BS33-PosPUDL1)^2/2,0)+IF(BS33&gt;(PosPUDL1+3),-PUDL1d*(BS33-PosPUDL1-3)^2/2,0)+IF(BS33&gt;PosPUDL2,PUDL2d*(BS33-PosPUDL2)^2/2,0)+IF(BS33&gt;(PosPUDL2+LePUDL2),-PUDL2d*(BS33-PosPUDL2-LePUDL2)^2/2,0)+IF(BS33&gt;PosPLa1,PLa1d*(BS33-PosPLa1),0)+IF(BS33&gt;PosPLb1,PLb1d*(BS33-PosPLb1),0)</f>
        <v>-31.160831999999967</v>
      </c>
      <c r="BT34" s="67">
        <f>-RL1d*BT33+UDL1d*BT33^2/2+IF(BT33&gt;PosPUDL1,PUDL1d*(BT33-PosPUDL1)^2/2,0)+IF(BT33&gt;(PosPUDL1+3),-PUDL1d*(BT33-PosPUDL1-3)^2/2,0)+IF(BT33&gt;PosPUDL2,PUDL2d*(BT33-PosPUDL2)^2/2,0)+IF(BT33&gt;(PosPUDL2+LePUDL2),-PUDL2d*(BT33-PosPUDL2-LePUDL2)^2/2,0)+IF(BT33&gt;PosPLa1,PLa1d*(BT33-PosPLa1),0)+IF(BT33&gt;PosPLb1,PLb1d*(BT33-PosPLb1),0)</f>
        <v>-30.535247999999974</v>
      </c>
      <c r="BU34" s="67">
        <f>-RL1d*BU33+UDL1d*BU33^2/2+IF(BU33&gt;PosPUDL1,PUDL1d*(BU33-PosPUDL1)^2/2,0)+IF(BU33&gt;(PosPUDL1+3),-PUDL1d*(BU33-PosPUDL1-3)^2/2,0)+IF(BU33&gt;PosPUDL2,PUDL2d*(BU33-PosPUDL2)^2/2,0)+IF(BU33&gt;(PosPUDL2+LePUDL2),-PUDL2d*(BU33-PosPUDL2-LePUDL2)^2/2,0)+IF(BU33&gt;PosPLa1,PLa1d*(BU33-PosPLa1),0)+IF(BU33&gt;PosPLb1,PLb1d*(BU33-PosPLb1),0)</f>
        <v>-29.887199999999982</v>
      </c>
      <c r="BV34" s="67">
        <f>-RL1d*BV33+UDL1d*BV33^2/2+IF(BV33&gt;PosPUDL1,PUDL1d*(BV33-PosPUDL1)^2/2,0)+IF(BV33&gt;(PosPUDL1+3),-PUDL1d*(BV33-PosPUDL1-3)^2/2,0)+IF(BV33&gt;PosPUDL2,PUDL2d*(BV33-PosPUDL2)^2/2,0)+IF(BV33&gt;(PosPUDL2+LePUDL2),-PUDL2d*(BV33-PosPUDL2-LePUDL2)^2/2,0)+IF(BV33&gt;PosPLa1,PLa1d*(BV33-PosPLa1),0)+IF(BV33&gt;PosPLb1,PLb1d*(BV33-PosPLb1),0)</f>
        <v>-29.216687999999984</v>
      </c>
      <c r="BW34" s="67">
        <f>-RL1d*BW33+UDL1d*BW33^2/2+IF(BW33&gt;PosPUDL1,PUDL1d*(BW33-PosPUDL1)^2/2,0)+IF(BW33&gt;(PosPUDL1+3),-PUDL1d*(BW33-PosPUDL1-3)^2/2,0)+IF(BW33&gt;PosPUDL2,PUDL2d*(BW33-PosPUDL2)^2/2,0)+IF(BW33&gt;(PosPUDL2+LePUDL2),-PUDL2d*(BW33-PosPUDL2-LePUDL2)^2/2,0)+IF(BW33&gt;PosPLa1,PLa1d*(BW33-PosPLa1),0)+IF(BW33&gt;PosPLb1,PLb1d*(BW33-PosPLb1),0)</f>
        <v>-28.523711999999964</v>
      </c>
      <c r="BX34" s="67">
        <f>-RL1d*BX33+UDL1d*BX33^2/2+IF(BX33&gt;PosPUDL1,PUDL1d*(BX33-PosPUDL1)^2/2,0)+IF(BX33&gt;(PosPUDL1+3),-PUDL1d*(BX33-PosPUDL1-3)^2/2,0)+IF(BX33&gt;PosPUDL2,PUDL2d*(BX33-PosPUDL2)^2/2,0)+IF(BX33&gt;(PosPUDL2+LePUDL2),-PUDL2d*(BX33-PosPUDL2-LePUDL2)^2/2,0)+IF(BX33&gt;PosPLa1,PLa1d*(BX33-PosPLa1),0)+IF(BX33&gt;PosPLb1,PLb1d*(BX33-PosPLb1),0)</f>
        <v>-27.808271999999967</v>
      </c>
      <c r="BY34" s="67">
        <f>-RL1d*BY33+UDL1d*BY33^2/2+IF(BY33&gt;PosPUDL1,PUDL1d*(BY33-PosPUDL1)^2/2,0)+IF(BY33&gt;(PosPUDL1+3),-PUDL1d*(BY33-PosPUDL1-3)^2/2,0)+IF(BY33&gt;PosPUDL2,PUDL2d*(BY33-PosPUDL2)^2/2,0)+IF(BY33&gt;(PosPUDL2+LePUDL2),-PUDL2d*(BY33-PosPUDL2-LePUDL2)^2/2,0)+IF(BY33&gt;PosPLa1,PLa1d*(BY33-PosPLa1),0)+IF(BY33&gt;PosPLb1,PLb1d*(BY33-PosPLb1),0)</f>
        <v>-27.07036799999997</v>
      </c>
      <c r="BZ34" s="67">
        <f>-RL1d*BZ33+UDL1d*BZ33^2/2+IF(BZ33&gt;PosPUDL1,PUDL1d*(BZ33-PosPUDL1)^2/2,0)+IF(BZ33&gt;(PosPUDL1+3),-PUDL1d*(BZ33-PosPUDL1-3)^2/2,0)+IF(BZ33&gt;PosPUDL2,PUDL2d*(BZ33-PosPUDL2)^2/2,0)+IF(BZ33&gt;(PosPUDL2+LePUDL2),-PUDL2d*(BZ33-PosPUDL2-LePUDL2)^2/2,0)+IF(BZ33&gt;PosPLa1,PLa1d*(BZ33-PosPLa1),0)+IF(BZ33&gt;PosPLb1,PLb1d*(BZ33-PosPLb1),0)</f>
        <v>-26.309999999999967</v>
      </c>
      <c r="CA34" s="67">
        <f>-RL1d*CA33+UDL1d*CA33^2/2+IF(CA33&gt;PosPUDL1,PUDL1d*(CA33-PosPUDL1)^2/2,0)+IF(CA33&gt;(PosPUDL1+3),-PUDL1d*(CA33-PosPUDL1-3)^2/2,0)+IF(CA33&gt;PosPUDL2,PUDL2d*(CA33-PosPUDL2)^2/2,0)+IF(CA33&gt;(PosPUDL2+LePUDL2),-PUDL2d*(CA33-PosPUDL2-LePUDL2)^2/2,0)+IF(CA33&gt;PosPLa1,PLa1d*(CA33-PosPLa1),0)+IF(CA33&gt;PosPLb1,PLb1d*(CA33-PosPLb1),0)</f>
        <v>-25.527167999999975</v>
      </c>
      <c r="CB34" s="67">
        <f>-RL1d*CB33+UDL1d*CB33^2/2+IF(CB33&gt;PosPUDL1,PUDL1d*(CB33-PosPUDL1)^2/2,0)+IF(CB33&gt;(PosPUDL1+3),-PUDL1d*(CB33-PosPUDL1-3)^2/2,0)+IF(CB33&gt;PosPUDL2,PUDL2d*(CB33-PosPUDL2)^2/2,0)+IF(CB33&gt;(PosPUDL2+LePUDL2),-PUDL2d*(CB33-PosPUDL2-LePUDL2)^2/2,0)+IF(CB33&gt;PosPLa1,PLa1d*(CB33-PosPLa1),0)+IF(CB33&gt;PosPLb1,PLb1d*(CB33-PosPLb1),0)</f>
        <v>-24.721871999999948</v>
      </c>
      <c r="CC34" s="67">
        <f>-RL1d*CC33+UDL1d*CC33^2/2+IF(CC33&gt;PosPUDL1,PUDL1d*(CC33-PosPUDL1)^2/2,0)+IF(CC33&gt;(PosPUDL1+3),-PUDL1d*(CC33-PosPUDL1-3)^2/2,0)+IF(CC33&gt;PosPUDL2,PUDL2d*(CC33-PosPUDL2)^2/2,0)+IF(CC33&gt;(PosPUDL2+LePUDL2),-PUDL2d*(CC33-PosPUDL2-LePUDL2)^2/2,0)+IF(CC33&gt;PosPLa1,PLa1d*(CC33-PosPLa1),0)+IF(CC33&gt;PosPLb1,PLb1d*(CC33-PosPLb1),0)</f>
        <v>-23.89411199999995</v>
      </c>
      <c r="CD34" s="67">
        <f>-RL1d*CD33+UDL1d*CD33^2/2+IF(CD33&gt;PosPUDL1,PUDL1d*(CD33-PosPUDL1)^2/2,0)+IF(CD33&gt;(PosPUDL1+3),-PUDL1d*(CD33-PosPUDL1-3)^2/2,0)+IF(CD33&gt;PosPUDL2,PUDL2d*(CD33-PosPUDL2)^2/2,0)+IF(CD33&gt;(PosPUDL2+LePUDL2),-PUDL2d*(CD33-PosPUDL2-LePUDL2)^2/2,0)+IF(CD33&gt;PosPLa1,PLa1d*(CD33-PosPLa1),0)+IF(CD33&gt;PosPLb1,PLb1d*(CD33-PosPLb1),0)</f>
        <v>-23.043887999999953</v>
      </c>
      <c r="CE34" s="67">
        <f>-RL1d*CE33+UDL1d*CE33^2/2+IF(CE33&gt;PosPUDL1,PUDL1d*(CE33-PosPUDL1)^2/2,0)+IF(CE33&gt;(PosPUDL1+3),-PUDL1d*(CE33-PosPUDL1-3)^2/2,0)+IF(CE33&gt;PosPUDL2,PUDL2d*(CE33-PosPUDL2)^2/2,0)+IF(CE33&gt;(PosPUDL2+LePUDL2),-PUDL2d*(CE33-PosPUDL2-LePUDL2)^2/2,0)+IF(CE33&gt;PosPLa1,PLa1d*(CE33-PosPLa1),0)+IF(CE33&gt;PosPLb1,PLb1d*(CE33-PosPLb1),0)</f>
        <v>-22.171199999999956</v>
      </c>
      <c r="CF34" s="67">
        <f>-RL1d*CF33+UDL1d*CF33^2/2+IF(CF33&gt;PosPUDL1,PUDL1d*(CF33-PosPUDL1)^2/2,0)+IF(CF33&gt;(PosPUDL1+3),-PUDL1d*(CF33-PosPUDL1-3)^2/2,0)+IF(CF33&gt;PosPUDL2,PUDL2d*(CF33-PosPUDL2)^2/2,0)+IF(CF33&gt;(PosPUDL2+LePUDL2),-PUDL2d*(CF33-PosPUDL2-LePUDL2)^2/2,0)+IF(CF33&gt;PosPLa1,PLa1d*(CF33-PosPLa1),0)+IF(CF33&gt;PosPLb1,PLb1d*(CF33-PosPLb1),0)</f>
        <v>-21.27604799999996</v>
      </c>
      <c r="CG34" s="67">
        <f>-RL1d*CG33+UDL1d*CG33^2/2+IF(CG33&gt;PosPUDL1,PUDL1d*(CG33-PosPUDL1)^2/2,0)+IF(CG33&gt;(PosPUDL1+3),-PUDL1d*(CG33-PosPUDL1-3)^2/2,0)+IF(CG33&gt;PosPUDL2,PUDL2d*(CG33-PosPUDL2)^2/2,0)+IF(CG33&gt;(PosPUDL2+LePUDL2),-PUDL2d*(CG33-PosPUDL2-LePUDL2)^2/2,0)+IF(CG33&gt;PosPLa1,PLa1d*(CG33-PosPLa1),0)+IF(CG33&gt;PosPLb1,PLb1d*(CG33-PosPLb1),0)</f>
        <v>-20.358431999999965</v>
      </c>
      <c r="CH34" s="67">
        <f>-RL1d*CH33+UDL1d*CH33^2/2+IF(CH33&gt;PosPUDL1,PUDL1d*(CH33-PosPUDL1)^2/2,0)+IF(CH33&gt;(PosPUDL1+3),-PUDL1d*(CH33-PosPUDL1-3)^2/2,0)+IF(CH33&gt;PosPUDL2,PUDL2d*(CH33-PosPUDL2)^2/2,0)+IF(CH33&gt;(PosPUDL2+LePUDL2),-PUDL2d*(CH33-PosPUDL2-LePUDL2)^2/2,0)+IF(CH33&gt;PosPLa1,PLa1d*(CH33-PosPLa1),0)+IF(CH33&gt;PosPLb1,PLb1d*(CH33-PosPLb1),0)</f>
        <v>-19.418351999999942</v>
      </c>
      <c r="CI34" s="67">
        <f>-RL1d*CI33+UDL1d*CI33^2/2+IF(CI33&gt;PosPUDL1,PUDL1d*(CI33-PosPUDL1)^2/2,0)+IF(CI33&gt;(PosPUDL1+3),-PUDL1d*(CI33-PosPUDL1-3)^2/2,0)+IF(CI33&gt;PosPUDL2,PUDL2d*(CI33-PosPUDL2)^2/2,0)+IF(CI33&gt;(PosPUDL2+LePUDL2),-PUDL2d*(CI33-PosPUDL2-LePUDL2)^2/2,0)+IF(CI33&gt;PosPLa1,PLa1d*(CI33-PosPLa1),0)+IF(CI33&gt;PosPLb1,PLb1d*(CI33-PosPLb1),0)</f>
        <v>-18.455807999999951</v>
      </c>
      <c r="CJ34" s="67">
        <f>-RL1d*CJ33+UDL1d*CJ33^2/2+IF(CJ33&gt;PosPUDL1,PUDL1d*(CJ33-PosPUDL1)^2/2,0)+IF(CJ33&gt;(PosPUDL1+3),-PUDL1d*(CJ33-PosPUDL1-3)^2/2,0)+IF(CJ33&gt;PosPUDL2,PUDL2d*(CJ33-PosPUDL2)^2/2,0)+IF(CJ33&gt;(PosPUDL2+LePUDL2),-PUDL2d*(CJ33-PosPUDL2-LePUDL2)^2/2,0)+IF(CJ33&gt;PosPLa1,PLa1d*(CJ33-PosPLa1),0)+IF(CJ33&gt;PosPLb1,PLb1d*(CJ33-PosPLb1),0)</f>
        <v>-17.47079999999994</v>
      </c>
      <c r="CK34" s="67">
        <f>-RL1d*CK33+UDL1d*CK33^2/2+IF(CK33&gt;PosPUDL1,PUDL1d*(CK33-PosPUDL1)^2/2,0)+IF(CK33&gt;(PosPUDL1+3),-PUDL1d*(CK33-PosPUDL1-3)^2/2,0)+IF(CK33&gt;PosPUDL2,PUDL2d*(CK33-PosPUDL2)^2/2,0)+IF(CK33&gt;(PosPUDL2+LePUDL2),-PUDL2d*(CK33-PosPUDL2-LePUDL2)^2/2,0)+IF(CK33&gt;PosPLa1,PLa1d*(CK33-PosPLa1),0)+IF(CK33&gt;PosPLb1,PLb1d*(CK33-PosPLb1),0)</f>
        <v>-16.463327999999944</v>
      </c>
      <c r="CL34" s="67">
        <f>-RL1d*CL33+UDL1d*CL33^2/2+IF(CL33&gt;PosPUDL1,PUDL1d*(CL33-PosPUDL1)^2/2,0)+IF(CL33&gt;(PosPUDL1+3),-PUDL1d*(CL33-PosPUDL1-3)^2/2,0)+IF(CL33&gt;PosPUDL2,PUDL2d*(CL33-PosPUDL2)^2/2,0)+IF(CL33&gt;(PosPUDL2+LePUDL2),-PUDL2d*(CL33-PosPUDL2-LePUDL2)^2/2,0)+IF(CL33&gt;PosPLa1,PLa1d*(CL33-PosPLa1),0)+IF(CL33&gt;PosPLb1,PLb1d*(CL33-PosPLb1),0)</f>
        <v>-15.433391999999959</v>
      </c>
      <c r="CM34" s="67">
        <f>-RL1d*CM33+UDL1d*CM33^2/2+IF(CM33&gt;PosPUDL1,PUDL1d*(CM33-PosPUDL1)^2/2,0)+IF(CM33&gt;(PosPUDL1+3),-PUDL1d*(CM33-PosPUDL1-3)^2/2,0)+IF(CM33&gt;PosPUDL2,PUDL2d*(CM33-PosPUDL2)^2/2,0)+IF(CM33&gt;(PosPUDL2+LePUDL2),-PUDL2d*(CM33-PosPUDL2-LePUDL2)^2/2,0)+IF(CM33&gt;PosPLa1,PLa1d*(CM33-PosPLa1),0)+IF(CM33&gt;PosPLb1,PLb1d*(CM33-PosPLb1),0)</f>
        <v>-14.380991999999946</v>
      </c>
      <c r="CN34" s="67">
        <f>-RL1d*CN33+UDL1d*CN33^2/2+IF(CN33&gt;PosPUDL1,PUDL1d*(CN33-PosPUDL1)^2/2,0)+IF(CN33&gt;(PosPUDL1+3),-PUDL1d*(CN33-PosPUDL1-3)^2/2,0)+IF(CN33&gt;PosPUDL2,PUDL2d*(CN33-PosPUDL2)^2/2,0)+IF(CN33&gt;(PosPUDL2+LePUDL2),-PUDL2d*(CN33-PosPUDL2-LePUDL2)^2/2,0)+IF(CN33&gt;PosPLa1,PLa1d*(CN33-PosPLa1),0)+IF(CN33&gt;PosPLb1,PLb1d*(CN33-PosPLb1),0)</f>
        <v>-13.306127999999944</v>
      </c>
      <c r="CO34" s="67">
        <f>-RL1d*CO33+UDL1d*CO33^2/2+IF(CO33&gt;PosPUDL1,PUDL1d*(CO33-PosPUDL1)^2/2,0)+IF(CO33&gt;(PosPUDL1+3),-PUDL1d*(CO33-PosPUDL1-3)^2/2,0)+IF(CO33&gt;PosPUDL2,PUDL2d*(CO33-PosPUDL2)^2/2,0)+IF(CO33&gt;(PosPUDL2+LePUDL2),-PUDL2d*(CO33-PosPUDL2-LePUDL2)^2/2,0)+IF(CO33&gt;PosPLa1,PLa1d*(CO33-PosPLa1),0)+IF(CO33&gt;PosPLb1,PLb1d*(CO33-PosPLb1),0)</f>
        <v>-12.208799999999943</v>
      </c>
      <c r="CP34" s="67">
        <f>-RL1d*CP33+UDL1d*CP33^2/2+IF(CP33&gt;PosPUDL1,PUDL1d*(CP33-PosPUDL1)^2/2,0)+IF(CP33&gt;(PosPUDL1+3),-PUDL1d*(CP33-PosPUDL1-3)^2/2,0)+IF(CP33&gt;PosPUDL2,PUDL2d*(CP33-PosPUDL2)^2/2,0)+IF(CP33&gt;(PosPUDL2+LePUDL2),-PUDL2d*(CP33-PosPUDL2-LePUDL2)^2/2,0)+IF(CP33&gt;PosPLa1,PLa1d*(CP33-PosPLa1),0)+IF(CP33&gt;PosPLb1,PLb1d*(CP33-PosPLb1),0)</f>
        <v>-11.089007999999922</v>
      </c>
      <c r="CQ34" s="67">
        <f>-RL1d*CQ33+UDL1d*CQ33^2/2+IF(CQ33&gt;PosPUDL1,PUDL1d*(CQ33-PosPUDL1)^2/2,0)+IF(CQ33&gt;(PosPUDL1+3),-PUDL1d*(CQ33-PosPUDL1-3)^2/2,0)+IF(CQ33&gt;PosPUDL2,PUDL2d*(CQ33-PosPUDL2)^2/2,0)+IF(CQ33&gt;(PosPUDL2+LePUDL2),-PUDL2d*(CQ33-PosPUDL2-LePUDL2)^2/2,0)+IF(CQ33&gt;PosPLa1,PLa1d*(CQ33-PosPLa1),0)+IF(CQ33&gt;PosPLb1,PLb1d*(CQ33-PosPLb1),0)</f>
        <v>-9.9467519999999325</v>
      </c>
      <c r="CR34" s="67">
        <f>-RL1d*CR33+UDL1d*CR33^2/2+IF(CR33&gt;PosPUDL1,PUDL1d*(CR33-PosPUDL1)^2/2,0)+IF(CR33&gt;(PosPUDL1+3),-PUDL1d*(CR33-PosPUDL1-3)^2/2,0)+IF(CR33&gt;PosPUDL2,PUDL2d*(CR33-PosPUDL2)^2/2,0)+IF(CR33&gt;(PosPUDL2+LePUDL2),-PUDL2d*(CR33-PosPUDL2-LePUDL2)^2/2,0)+IF(CR33&gt;PosPLa1,PLa1d*(CR33-PosPLa1),0)+IF(CR33&gt;PosPLb1,PLb1d*(CR33-PosPLb1),0)</f>
        <v>-8.7820319999999157</v>
      </c>
      <c r="CS34" s="67">
        <f>-RL1d*CS33+UDL1d*CS33^2/2+IF(CS33&gt;PosPUDL1,PUDL1d*(CS33-PosPUDL1)^2/2,0)+IF(CS33&gt;(PosPUDL1+3),-PUDL1d*(CS33-PosPUDL1-3)^2/2,0)+IF(CS33&gt;PosPUDL2,PUDL2d*(CS33-PosPUDL2)^2/2,0)+IF(CS33&gt;(PosPUDL2+LePUDL2),-PUDL2d*(CS33-PosPUDL2-LePUDL2)^2/2,0)+IF(CS33&gt;PosPLa1,PLa1d*(CS33-PosPLa1),0)+IF(CS33&gt;PosPLb1,PLb1d*(CS33-PosPLb1),0)</f>
        <v>-7.5948479999999172</v>
      </c>
      <c r="CT34" s="67">
        <f>-RL1d*CT33+UDL1d*CT33^2/2+IF(CT33&gt;PosPUDL1,PUDL1d*(CT33-PosPUDL1)^2/2,0)+IF(CT33&gt;(PosPUDL1+3),-PUDL1d*(CT33-PosPUDL1-3)^2/2,0)+IF(CT33&gt;PosPUDL2,PUDL2d*(CT33-PosPUDL2)^2/2,0)+IF(CT33&gt;(PosPUDL2+LePUDL2),-PUDL2d*(CT33-PosPUDL2-LePUDL2)^2/2,0)+IF(CT33&gt;PosPLa1,PLa1d*(CT33-PosPLa1),0)+IF(CT33&gt;PosPLb1,PLb1d*(CT33-PosPLb1),0)</f>
        <v>-6.3851999999999265</v>
      </c>
      <c r="CU34" s="67">
        <f>-RL1d*CU33+UDL1d*CU33^2/2+IF(CU33&gt;PosPUDL1,PUDL1d*(CU33-PosPUDL1)^2/2,0)+IF(CU33&gt;(PosPUDL1+3),-PUDL1d*(CU33-PosPUDL1-3)^2/2,0)+IF(CU33&gt;PosPUDL2,PUDL2d*(CU33-PosPUDL2)^2/2,0)+IF(CU33&gt;(PosPUDL2+LePUDL2),-PUDL2d*(CU33-PosPUDL2-LePUDL2)^2/2,0)+IF(CU33&gt;PosPLa1,PLa1d*(CU33-PosPLa1),0)+IF(CU33&gt;PosPLb1,PLb1d*(CU33-PosPLb1),0)</f>
        <v>-5.153087999999924</v>
      </c>
      <c r="CV34" s="67">
        <f>-RL1d*CV33+UDL1d*CV33^2/2+IF(CV33&gt;PosPUDL1,PUDL1d*(CV33-PosPUDL1)^2/2,0)+IF(CV33&gt;(PosPUDL1+3),-PUDL1d*(CV33-PosPUDL1-3)^2/2,0)+IF(CV33&gt;PosPUDL2,PUDL2d*(CV33-PosPUDL2)^2/2,0)+IF(CV33&gt;(PosPUDL2+LePUDL2),-PUDL2d*(CV33-PosPUDL2-LePUDL2)^2/2,0)+IF(CV33&gt;PosPLa1,PLa1d*(CV33-PosPLa1),0)+IF(CV33&gt;PosPLb1,PLb1d*(CV33-PosPLb1),0)</f>
        <v>-3.8985119999999078</v>
      </c>
      <c r="CW34" s="67">
        <f>-RL1d*CW33+UDL1d*CW33^2/2+IF(CW33&gt;PosPUDL1,PUDL1d*(CW33-PosPUDL1)^2/2,0)+IF(CW33&gt;(PosPUDL1+3),-PUDL1d*(CW33-PosPUDL1-3)^2/2,0)+IF(CW33&gt;PosPUDL2,PUDL2d*(CW33-PosPUDL2)^2/2,0)+IF(CW33&gt;(PosPUDL2+LePUDL2),-PUDL2d*(CW33-PosPUDL2-LePUDL2)^2/2,0)+IF(CW33&gt;PosPLa1,PLa1d*(CW33-PosPLa1),0)+IF(CW33&gt;PosPLb1,PLb1d*(CW33-PosPLb1),0)</f>
        <v>-2.6214719999999243</v>
      </c>
      <c r="CX34" s="67">
        <f>-RL1d*CX33+UDL1d*CX33^2/2+IF(CX33&gt;PosPUDL1,PUDL1d*(CX33-PosPUDL1)^2/2,0)+IF(CX33&gt;(PosPUDL1+3),-PUDL1d*(CX33-PosPUDL1-3)^2/2,0)+IF(CX33&gt;PosPUDL2,PUDL2d*(CX33-PosPUDL2)^2/2,0)+IF(CX33&gt;(PosPUDL2+LePUDL2),-PUDL2d*(CX33-PosPUDL2-LePUDL2)^2/2,0)+IF(CX33&gt;PosPLa1,PLa1d*(CX33-PosPLa1),0)+IF(CX33&gt;PosPLb1,PLb1d*(CX33-PosPLb1),0)</f>
        <v>-1.3219679999999272</v>
      </c>
      <c r="CY34" s="67">
        <f>-RL1d*CY33+UDL1d*CY33^2/2+IF(CY33&gt;PosPUDL1,PUDL1d*(CY33-PosPUDL1)^2/2,0)+IF(CY33&gt;(PosPUDL1+3),-PUDL1d*(CY33-PosPUDL1-3)^2/2,0)+IF(CY33&gt;PosPUDL2,PUDL2d*(CY33-PosPUDL2)^2/2,0)+IF(CY33&gt;(PosPUDL2+LePUDL2),-PUDL2d*(CY33-PosPUDL2-LePUDL2)^2/2,0)+IF(CY33&gt;PosPLa1,PLa1d*(CY33-PosPLa1),0)+IF(CY33&gt;PosPLb1,PLb1d*(CY33-PosPLb1),0)</f>
        <v>8.1712414612411521E-14</v>
      </c>
    </row>
    <row r="35" spans="2:105">
      <c r="B35" s="65" t="s">
        <v>38</v>
      </c>
      <c r="C35" s="66">
        <v>0</v>
      </c>
      <c r="D35" s="67">
        <f>-RL1l*D33+2*D33^2/2+IF(D33&gt;PosPUDL1,PUDL1l*(D33-PosPUDL1)^2/2,0)+IF(D33&gt;(PosPUDL1+3),-PUDL1l*(D33-PosPUDL1-3)^2/2,0)+IF(D33&gt;PosPUDL2,PUDL2l*(D33-PosPUDL2)^2/2,0)+IF(D33&gt;(PosPUDL2+LePUDL2),-PUDL2l*(D33-PosPUDL2-LePUDL2)^2/2,0)+IF(D33&gt;PosPLa1,PLa1l*(D33-PosPLa1),0)+IF(D33&gt;PosPLb1,PLb1l*(D33-PosPLb1),0)</f>
        <v>-0.89860000000000007</v>
      </c>
      <c r="E35" s="67">
        <f>-RL1l*E33+2*E33^2/2+IF(E33&gt;PosPUDL1,PUDL1l*(E33-PosPUDL1)^2/2,0)+IF(E33&gt;(PosPUDL1+3),-PUDL1l*(E33-PosPUDL1-3)^2/2,0)+IF(E33&gt;PosPUDL2,PUDL2l*(E33-PosPUDL2)^2/2,0)+IF(E33&gt;(PosPUDL2+LePUDL2),-PUDL2l*(E33-PosPUDL2-LePUDL2)^2/2,0)+IF(E33&gt;PosPLa1,PLa1l*(E33-PosPLa1),0)+IF(E33&gt;PosPLb1,PLb1l*(E33-PosPLb1),0)</f>
        <v>-1.7844</v>
      </c>
      <c r="F35" s="67">
        <f>-RL1l*F33+2*F33^2/2+IF(F33&gt;PosPUDL1,PUDL1l*(F33-PosPUDL1)^2/2,0)+IF(F33&gt;(PosPUDL1+3),-PUDL1l*(F33-PosPUDL1-3)^2/2,0)+IF(F33&gt;PosPUDL2,PUDL2l*(F33-PosPUDL2)^2/2,0)+IF(F33&gt;(PosPUDL2+LePUDL2),-PUDL2l*(F33-PosPUDL2-LePUDL2)^2/2,0)+IF(F33&gt;PosPLa1,PLa1l*(F33-PosPLa1),0)+IF(F33&gt;PosPLb1,PLb1l*(F33-PosPLb1),0)</f>
        <v>-2.6574</v>
      </c>
      <c r="G35" s="67">
        <f>-RL1l*G33+2*G33^2/2+IF(G33&gt;PosPUDL1,PUDL1l*(G33-PosPUDL1)^2/2,0)+IF(G33&gt;(PosPUDL1+3),-PUDL1l*(G33-PosPUDL1-3)^2/2,0)+IF(G33&gt;PosPUDL2,PUDL2l*(G33-PosPUDL2)^2/2,0)+IF(G33&gt;(PosPUDL2+LePUDL2),-PUDL2l*(G33-PosPUDL2-LePUDL2)^2/2,0)+IF(G33&gt;PosPLa1,PLa1l*(G33-PosPLa1),0)+IF(G33&gt;PosPLb1,PLb1l*(G33-PosPLb1),0)</f>
        <v>-3.5176000000000003</v>
      </c>
      <c r="H35" s="67">
        <f>-RL1l*H33+2*H33^2/2+IF(H33&gt;PosPUDL1,PUDL1l*(H33-PosPUDL1)^2/2,0)+IF(H33&gt;(PosPUDL1+3),-PUDL1l*(H33-PosPUDL1-3)^2/2,0)+IF(H33&gt;PosPUDL2,PUDL2l*(H33-PosPUDL2)^2/2,0)+IF(H33&gt;(PosPUDL2+LePUDL2),-PUDL2l*(H33-PosPUDL2-LePUDL2)^2/2,0)+IF(H33&gt;PosPLa1,PLa1l*(H33-PosPLa1),0)+IF(H33&gt;PosPLb1,PLb1l*(H33-PosPLb1),0)</f>
        <v>-4.3650000000000002</v>
      </c>
      <c r="I35" s="67">
        <f>-RL1l*I33+2*I33^2/2+IF(I33&gt;PosPUDL1,PUDL1l*(I33-PosPUDL1)^2/2,0)+IF(I33&gt;(PosPUDL1+3),-PUDL1l*(I33-PosPUDL1-3)^2/2,0)+IF(I33&gt;PosPUDL2,PUDL2l*(I33-PosPUDL2)^2/2,0)+IF(I33&gt;(PosPUDL2+LePUDL2),-PUDL2l*(I33-PosPUDL2-LePUDL2)^2/2,0)+IF(I33&gt;PosPLa1,PLa1l*(I33-PosPLa1),0)+IF(I33&gt;PosPLb1,PLb1l*(I33-PosPLb1),0)</f>
        <v>-5.1996000000000002</v>
      </c>
      <c r="J35" s="67">
        <f>-RL1l*J33+2*J33^2/2+IF(J33&gt;PosPUDL1,PUDL1l*(J33-PosPUDL1)^2/2,0)+IF(J33&gt;(PosPUDL1+3),-PUDL1l*(J33-PosPUDL1-3)^2/2,0)+IF(J33&gt;PosPUDL2,PUDL2l*(J33-PosPUDL2)^2/2,0)+IF(J33&gt;(PosPUDL2+LePUDL2),-PUDL2l*(J33-PosPUDL2-LePUDL2)^2/2,0)+IF(J33&gt;PosPLa1,PLa1l*(J33-PosPLa1),0)+IF(J33&gt;PosPLb1,PLb1l*(J33-PosPLb1),0)</f>
        <v>-6.0214000000000008</v>
      </c>
      <c r="K35" s="67">
        <f>-RL1l*K33+2*K33^2/2+IF(K33&gt;PosPUDL1,PUDL1l*(K33-PosPUDL1)^2/2,0)+IF(K33&gt;(PosPUDL1+3),-PUDL1l*(K33-PosPUDL1-3)^2/2,0)+IF(K33&gt;PosPUDL2,PUDL2l*(K33-PosPUDL2)^2/2,0)+IF(K33&gt;(PosPUDL2+LePUDL2),-PUDL2l*(K33-PosPUDL2-LePUDL2)^2/2,0)+IF(K33&gt;PosPLa1,PLa1l*(K33-PosPLa1),0)+IF(K33&gt;PosPLb1,PLb1l*(K33-PosPLb1),0)</f>
        <v>-6.8304</v>
      </c>
      <c r="L35" s="67">
        <f>-RL1l*L33+2*L33^2/2+IF(L33&gt;PosPUDL1,PUDL1l*(L33-PosPUDL1)^2/2,0)+IF(L33&gt;(PosPUDL1+3),-PUDL1l*(L33-PosPUDL1-3)^2/2,0)+IF(L33&gt;PosPUDL2,PUDL2l*(L33-PosPUDL2)^2/2,0)+IF(L33&gt;(PosPUDL2+LePUDL2),-PUDL2l*(L33-PosPUDL2-LePUDL2)^2/2,0)+IF(L33&gt;PosPLa1,PLa1l*(L33-PosPLa1),0)+IF(L33&gt;PosPLb1,PLb1l*(L33-PosPLb1),0)</f>
        <v>-7.6265999999999998</v>
      </c>
      <c r="M35" s="67">
        <f>-RL1l*M33+2*M33^2/2+IF(M33&gt;PosPUDL1,PUDL1l*(M33-PosPUDL1)^2/2,0)+IF(M33&gt;(PosPUDL1+3),-PUDL1l*(M33-PosPUDL1-3)^2/2,0)+IF(M33&gt;PosPUDL2,PUDL2l*(M33-PosPUDL2)^2/2,0)+IF(M33&gt;(PosPUDL2+LePUDL2),-PUDL2l*(M33-PosPUDL2-LePUDL2)^2/2,0)+IF(M33&gt;PosPLa1,PLa1l*(M33-PosPLa1),0)+IF(M33&gt;PosPLb1,PLb1l*(M33-PosPLb1),0)</f>
        <v>-8.4099999999999984</v>
      </c>
      <c r="N35" s="67">
        <f>-RL1l*N33+2*N33^2/2+IF(N33&gt;PosPUDL1,PUDL1l*(N33-PosPUDL1)^2/2,0)+IF(N33&gt;(PosPUDL1+3),-PUDL1l*(N33-PosPUDL1-3)^2/2,0)+IF(N33&gt;PosPUDL2,PUDL2l*(N33-PosPUDL2)^2/2,0)+IF(N33&gt;(PosPUDL2+LePUDL2),-PUDL2l*(N33-PosPUDL2-LePUDL2)^2/2,0)+IF(N33&gt;PosPLa1,PLa1l*(N33-PosPLa1),0)+IF(N33&gt;PosPLb1,PLb1l*(N33-PosPLb1),0)</f>
        <v>-9.1805999999999983</v>
      </c>
      <c r="O35" s="67">
        <f>-RL1l*O33+2*O33^2/2+IF(O33&gt;PosPUDL1,PUDL1l*(O33-PosPUDL1)^2/2,0)+IF(O33&gt;(PosPUDL1+3),-PUDL1l*(O33-PosPUDL1-3)^2/2,0)+IF(O33&gt;PosPUDL2,PUDL2l*(O33-PosPUDL2)^2/2,0)+IF(O33&gt;(PosPUDL2+LePUDL2),-PUDL2l*(O33-PosPUDL2-LePUDL2)^2/2,0)+IF(O33&gt;PosPLa1,PLa1l*(O33-PosPLa1),0)+IF(O33&gt;PosPLb1,PLb1l*(O33-PosPLb1),0)</f>
        <v>-9.9383999999999979</v>
      </c>
      <c r="P35" s="67">
        <f>-RL1l*P33+2*P33^2/2+IF(P33&gt;PosPUDL1,PUDL1l*(P33-PosPUDL1)^2/2,0)+IF(P33&gt;(PosPUDL1+3),-PUDL1l*(P33-PosPUDL1-3)^2/2,0)+IF(P33&gt;PosPUDL2,PUDL2l*(P33-PosPUDL2)^2/2,0)+IF(P33&gt;(PosPUDL2+LePUDL2),-PUDL2l*(P33-PosPUDL2-LePUDL2)^2/2,0)+IF(P33&gt;PosPLa1,PLa1l*(P33-PosPLa1),0)+IF(P33&gt;PosPLb1,PLb1l*(P33-PosPLb1),0)</f>
        <v>-10.682599999999997</v>
      </c>
      <c r="Q35" s="67">
        <f>-RL1l*Q33+2*Q33^2/2+IF(Q33&gt;PosPUDL1,PUDL1l*(Q33-PosPUDL1)^2/2,0)+IF(Q33&gt;(PosPUDL1+3),-PUDL1l*(Q33-PosPUDL1-3)^2/2,0)+IF(Q33&gt;PosPUDL2,PUDL2l*(Q33-PosPUDL2)^2/2,0)+IF(Q33&gt;(PosPUDL2+LePUDL2),-PUDL2l*(Q33-PosPUDL2-LePUDL2)^2/2,0)+IF(Q33&gt;PosPLa1,PLa1l*(Q33-PosPLa1),0)+IF(Q33&gt;PosPLb1,PLb1l*(Q33-PosPLb1),0)</f>
        <v>-11.408399999999999</v>
      </c>
      <c r="R35" s="67">
        <f>-RL1l*R33+2*R33^2/2+IF(R33&gt;PosPUDL1,PUDL1l*(R33-PosPUDL1)^2/2,0)+IF(R33&gt;(PosPUDL1+3),-PUDL1l*(R33-PosPUDL1-3)^2/2,0)+IF(R33&gt;PosPUDL2,PUDL2l*(R33-PosPUDL2)^2/2,0)+IF(R33&gt;(PosPUDL2+LePUDL2),-PUDL2l*(R33-PosPUDL2-LePUDL2)^2/2,0)+IF(R33&gt;PosPLa1,PLa1l*(R33-PosPLa1),0)+IF(R33&gt;PosPLb1,PLb1l*(R33-PosPLb1),0)</f>
        <v>-12.115</v>
      </c>
      <c r="S35" s="67">
        <f>-RL1l*S33+2*S33^2/2+IF(S33&gt;PosPUDL1,PUDL1l*(S33-PosPUDL1)^2/2,0)+IF(S33&gt;(PosPUDL1+3),-PUDL1l*(S33-PosPUDL1-3)^2/2,0)+IF(S33&gt;PosPUDL2,PUDL2l*(S33-PosPUDL2)^2/2,0)+IF(S33&gt;(PosPUDL2+LePUDL2),-PUDL2l*(S33-PosPUDL2-LePUDL2)^2/2,0)+IF(S33&gt;PosPLa1,PLa1l*(S33-PosPLa1),0)+IF(S33&gt;PosPLb1,PLb1l*(S33-PosPLb1),0)</f>
        <v>-12.8024</v>
      </c>
      <c r="T35" s="67">
        <f>-RL1l*T33+2*T33^2/2+IF(T33&gt;PosPUDL1,PUDL1l*(T33-PosPUDL1)^2/2,0)+IF(T33&gt;(PosPUDL1+3),-PUDL1l*(T33-PosPUDL1-3)^2/2,0)+IF(T33&gt;PosPUDL2,PUDL2l*(T33-PosPUDL2)^2/2,0)+IF(T33&gt;(PosPUDL2+LePUDL2),-PUDL2l*(T33-PosPUDL2-LePUDL2)^2/2,0)+IF(T33&gt;PosPLa1,PLa1l*(T33-PosPLa1),0)+IF(T33&gt;PosPLb1,PLb1l*(T33-PosPLb1),0)</f>
        <v>-13.470600000000001</v>
      </c>
      <c r="U35" s="67">
        <f>-RL1l*U33+2*U33^2/2+IF(U33&gt;PosPUDL1,PUDL1l*(U33-PosPUDL1)^2/2,0)+IF(U33&gt;(PosPUDL1+3),-PUDL1l*(U33-PosPUDL1-3)^2/2,0)+IF(U33&gt;PosPUDL2,PUDL2l*(U33-PosPUDL2)^2/2,0)+IF(U33&gt;(PosPUDL2+LePUDL2),-PUDL2l*(U33-PosPUDL2-LePUDL2)^2/2,0)+IF(U33&gt;PosPLa1,PLa1l*(U33-PosPLa1),0)+IF(U33&gt;PosPLb1,PLb1l*(U33-PosPLb1),0)</f>
        <v>-14.119600000000002</v>
      </c>
      <c r="V35" s="67">
        <f>-RL1l*V33+2*V33^2/2+IF(V33&gt;PosPUDL1,PUDL1l*(V33-PosPUDL1)^2/2,0)+IF(V33&gt;(PosPUDL1+3),-PUDL1l*(V33-PosPUDL1-3)^2/2,0)+IF(V33&gt;PosPUDL2,PUDL2l*(V33-PosPUDL2)^2/2,0)+IF(V33&gt;(PosPUDL2+LePUDL2),-PUDL2l*(V33-PosPUDL2-LePUDL2)^2/2,0)+IF(V33&gt;PosPLa1,PLa1l*(V33-PosPLa1),0)+IF(V33&gt;PosPLb1,PLb1l*(V33-PosPLb1),0)</f>
        <v>-14.749400000000003</v>
      </c>
      <c r="W35" s="67">
        <f>-RL1l*W33+2*W33^2/2+IF(W33&gt;PosPUDL1,PUDL1l*(W33-PosPUDL1)^2/2,0)+IF(W33&gt;(PosPUDL1+3),-PUDL1l*(W33-PosPUDL1-3)^2/2,0)+IF(W33&gt;PosPUDL2,PUDL2l*(W33-PosPUDL2)^2/2,0)+IF(W33&gt;(PosPUDL2+LePUDL2),-PUDL2l*(W33-PosPUDL2-LePUDL2)^2/2,0)+IF(W33&gt;PosPLa1,PLa1l*(W33-PosPLa1),0)+IF(W33&gt;PosPLb1,PLb1l*(W33-PosPLb1),0)</f>
        <v>-15.360000000000005</v>
      </c>
      <c r="X35" s="67">
        <f>-RL1l*X33+2*X33^2/2+IF(X33&gt;PosPUDL1,PUDL1l*(X33-PosPUDL1)^2/2,0)+IF(X33&gt;(PosPUDL1+3),-PUDL1l*(X33-PosPUDL1-3)^2/2,0)+IF(X33&gt;PosPUDL2,PUDL2l*(X33-PosPUDL2)^2/2,0)+IF(X33&gt;(PosPUDL2+LePUDL2),-PUDL2l*(X33-PosPUDL2-LePUDL2)^2/2,0)+IF(X33&gt;PosPLa1,PLa1l*(X33-PosPLa1),0)+IF(X33&gt;PosPLb1,PLb1l*(X33-PosPLb1),0)</f>
        <v>-15.951400000000001</v>
      </c>
      <c r="Y35" s="67">
        <f>-RL1l*Y33+2*Y33^2/2+IF(Y33&gt;PosPUDL1,PUDL1l*(Y33-PosPUDL1)^2/2,0)+IF(Y33&gt;(PosPUDL1+3),-PUDL1l*(Y33-PosPUDL1-3)^2/2,0)+IF(Y33&gt;PosPUDL2,PUDL2l*(Y33-PosPUDL2)^2/2,0)+IF(Y33&gt;(PosPUDL2+LePUDL2),-PUDL2l*(Y33-PosPUDL2-LePUDL2)^2/2,0)+IF(Y33&gt;PosPLa1,PLa1l*(Y33-PosPLa1),0)+IF(Y33&gt;PosPLb1,PLb1l*(Y33-PosPLb1),0)</f>
        <v>-16.523600000000002</v>
      </c>
      <c r="Z35" s="67">
        <f>-RL1l*Z33+2*Z33^2/2+IF(Z33&gt;PosPUDL1,PUDL1l*(Z33-PosPUDL1)^2/2,0)+IF(Z33&gt;(PosPUDL1+3),-PUDL1l*(Z33-PosPUDL1-3)^2/2,0)+IF(Z33&gt;PosPUDL2,PUDL2l*(Z33-PosPUDL2)^2/2,0)+IF(Z33&gt;(PosPUDL2+LePUDL2),-PUDL2l*(Z33-PosPUDL2-LePUDL2)^2/2,0)+IF(Z33&gt;PosPLa1,PLa1l*(Z33-PosPLa1),0)+IF(Z33&gt;PosPLb1,PLb1l*(Z33-PosPLb1),0)</f>
        <v>-17.076599999999999</v>
      </c>
      <c r="AA35" s="67">
        <f>-RL1l*AA33+2*AA33^2/2+IF(AA33&gt;PosPUDL1,PUDL1l*(AA33-PosPUDL1)^2/2,0)+IF(AA33&gt;(PosPUDL1+3),-PUDL1l*(AA33-PosPUDL1-3)^2/2,0)+IF(AA33&gt;PosPUDL2,PUDL2l*(AA33-PosPUDL2)^2/2,0)+IF(AA33&gt;(PosPUDL2+LePUDL2),-PUDL2l*(AA33-PosPUDL2-LePUDL2)^2/2,0)+IF(AA33&gt;PosPLa1,PLa1l*(AA33-PosPLa1),0)+IF(AA33&gt;PosPLb1,PLb1l*(AA33-PosPLb1),0)</f>
        <v>-17.610400000000002</v>
      </c>
      <c r="AB35" s="67">
        <f>-RL1l*AB33+2*AB33^2/2+IF(AB33&gt;PosPUDL1,PUDL1l*(AB33-PosPUDL1)^2/2,0)+IF(AB33&gt;(PosPUDL1+3),-PUDL1l*(AB33-PosPUDL1-3)^2/2,0)+IF(AB33&gt;PosPUDL2,PUDL2l*(AB33-PosPUDL2)^2/2,0)+IF(AB33&gt;(PosPUDL2+LePUDL2),-PUDL2l*(AB33-PosPUDL2-LePUDL2)^2/2,0)+IF(AB33&gt;PosPLa1,PLa1l*(AB33-PosPLa1),0)+IF(AB33&gt;PosPLb1,PLb1l*(AB33-PosPLb1),0)</f>
        <v>-18.125</v>
      </c>
      <c r="AC35" s="67">
        <f>-RL1l*AC33+2*AC33^2/2+IF(AC33&gt;PosPUDL1,PUDL1l*(AC33-PosPUDL1)^2/2,0)+IF(AC33&gt;(PosPUDL1+3),-PUDL1l*(AC33-PosPUDL1-3)^2/2,0)+IF(AC33&gt;PosPUDL2,PUDL2l*(AC33-PosPUDL2)^2/2,0)+IF(AC33&gt;(PosPUDL2+LePUDL2),-PUDL2l*(AC33-PosPUDL2-LePUDL2)^2/2,0)+IF(AC33&gt;PosPLa1,PLa1l*(AC33-PosPLa1),0)+IF(AC33&gt;PosPLb1,PLb1l*(AC33-PosPLb1),0)</f>
        <v>-18.6204</v>
      </c>
      <c r="AD35" s="67">
        <f>-RL1l*AD33+2*AD33^2/2+IF(AD33&gt;PosPUDL1,PUDL1l*(AD33-PosPUDL1)^2/2,0)+IF(AD33&gt;(PosPUDL1+3),-PUDL1l*(AD33-PosPUDL1-3)^2/2,0)+IF(AD33&gt;PosPUDL2,PUDL2l*(AD33-PosPUDL2)^2/2,0)+IF(AD33&gt;(PosPUDL2+LePUDL2),-PUDL2l*(AD33-PosPUDL2-LePUDL2)^2/2,0)+IF(AD33&gt;PosPLa1,PLa1l*(AD33-PosPLa1),0)+IF(AD33&gt;PosPLb1,PLb1l*(AD33-PosPLb1),0)</f>
        <v>-19.096600000000002</v>
      </c>
      <c r="AE35" s="67">
        <f>-RL1l*AE33+2*AE33^2/2+IF(AE33&gt;PosPUDL1,PUDL1l*(AE33-PosPUDL1)^2/2,0)+IF(AE33&gt;(PosPUDL1+3),-PUDL1l*(AE33-PosPUDL1-3)^2/2,0)+IF(AE33&gt;PosPUDL2,PUDL2l*(AE33-PosPUDL2)^2/2,0)+IF(AE33&gt;(PosPUDL2+LePUDL2),-PUDL2l*(AE33-PosPUDL2-LePUDL2)^2/2,0)+IF(AE33&gt;PosPLa1,PLa1l*(AE33-PosPLa1),0)+IF(AE33&gt;PosPLb1,PLb1l*(AE33-PosPLb1),0)</f>
        <v>-19.553600000000003</v>
      </c>
      <c r="AF35" s="67">
        <f>-RL1l*AF33+2*AF33^2/2+IF(AF33&gt;PosPUDL1,PUDL1l*(AF33-PosPUDL1)^2/2,0)+IF(AF33&gt;(PosPUDL1+3),-PUDL1l*(AF33-PosPUDL1-3)^2/2,0)+IF(AF33&gt;PosPUDL2,PUDL2l*(AF33-PosPUDL2)^2/2,0)+IF(AF33&gt;(PosPUDL2+LePUDL2),-PUDL2l*(AF33-PosPUDL2-LePUDL2)^2/2,0)+IF(AF33&gt;PosPLa1,PLa1l*(AF33-PosPLa1),0)+IF(AF33&gt;PosPLb1,PLb1l*(AF33-PosPLb1),0)</f>
        <v>-19.991400000000002</v>
      </c>
      <c r="AG35" s="67">
        <f>-RL1l*AG33+2*AG33^2/2+IF(AG33&gt;PosPUDL1,PUDL1l*(AG33-PosPUDL1)^2/2,0)+IF(AG33&gt;(PosPUDL1+3),-PUDL1l*(AG33-PosPUDL1-3)^2/2,0)+IF(AG33&gt;PosPUDL2,PUDL2l*(AG33-PosPUDL2)^2/2,0)+IF(AG33&gt;(PosPUDL2+LePUDL2),-PUDL2l*(AG33-PosPUDL2-LePUDL2)^2/2,0)+IF(AG33&gt;PosPLa1,PLa1l*(AG33-PosPLa1),0)+IF(AG33&gt;PosPLb1,PLb1l*(AG33-PosPLb1),0)</f>
        <v>-20.410000000000004</v>
      </c>
      <c r="AH35" s="67">
        <f>-RL1l*AH33+2*AH33^2/2+IF(AH33&gt;PosPUDL1,PUDL1l*(AH33-PosPUDL1)^2/2,0)+IF(AH33&gt;(PosPUDL1+3),-PUDL1l*(AH33-PosPUDL1-3)^2/2,0)+IF(AH33&gt;PosPUDL2,PUDL2l*(AH33-PosPUDL2)^2/2,0)+IF(AH33&gt;(PosPUDL2+LePUDL2),-PUDL2l*(AH33-PosPUDL2-LePUDL2)^2/2,0)+IF(AH33&gt;PosPLa1,PLa1l*(AH33-PosPLa1),0)+IF(AH33&gt;PosPLb1,PLb1l*(AH33-PosPLb1),0)</f>
        <v>-20.809400000000004</v>
      </c>
      <c r="AI35" s="67">
        <f>-RL1l*AI33+2*AI33^2/2+IF(AI33&gt;PosPUDL1,PUDL1l*(AI33-PosPUDL1)^2/2,0)+IF(AI33&gt;(PosPUDL1+3),-PUDL1l*(AI33-PosPUDL1-3)^2/2,0)+IF(AI33&gt;PosPUDL2,PUDL2l*(AI33-PosPUDL2)^2/2,0)+IF(AI33&gt;(PosPUDL2+LePUDL2),-PUDL2l*(AI33-PosPUDL2-LePUDL2)^2/2,0)+IF(AI33&gt;PosPLa1,PLa1l*(AI33-PosPLa1),0)+IF(AI33&gt;PosPLb1,PLb1l*(AI33-PosPLb1),0)</f>
        <v>-21.189600000000002</v>
      </c>
      <c r="AJ35" s="67">
        <f>-RL1l*AJ33+2*AJ33^2/2+IF(AJ33&gt;PosPUDL1,PUDL1l*(AJ33-PosPUDL1)^2/2,0)+IF(AJ33&gt;(PosPUDL1+3),-PUDL1l*(AJ33-PosPUDL1-3)^2/2,0)+IF(AJ33&gt;PosPUDL2,PUDL2l*(AJ33-PosPUDL2)^2/2,0)+IF(AJ33&gt;(PosPUDL2+LePUDL2),-PUDL2l*(AJ33-PosPUDL2-LePUDL2)^2/2,0)+IF(AJ33&gt;PosPLa1,PLa1l*(AJ33-PosPLa1),0)+IF(AJ33&gt;PosPLb1,PLb1l*(AJ33-PosPLb1),0)</f>
        <v>-21.550600000000006</v>
      </c>
      <c r="AK35" s="67">
        <f>-RL1l*AK33+2*AK33^2/2+IF(AK33&gt;PosPUDL1,PUDL1l*(AK33-PosPUDL1)^2/2,0)+IF(AK33&gt;(PosPUDL1+3),-PUDL1l*(AK33-PosPUDL1-3)^2/2,0)+IF(AK33&gt;PosPUDL2,PUDL2l*(AK33-PosPUDL2)^2/2,0)+IF(AK33&gt;(PosPUDL2+LePUDL2),-PUDL2l*(AK33-PosPUDL2-LePUDL2)^2/2,0)+IF(AK33&gt;PosPLa1,PLa1l*(AK33-PosPLa1),0)+IF(AK33&gt;PosPLb1,PLb1l*(AK33-PosPLb1),0)</f>
        <v>-21.892400000000006</v>
      </c>
      <c r="AL35" s="67">
        <f>-RL1l*AL33+2*AL33^2/2+IF(AL33&gt;PosPUDL1,PUDL1l*(AL33-PosPUDL1)^2/2,0)+IF(AL33&gt;(PosPUDL1+3),-PUDL1l*(AL33-PosPUDL1-3)^2/2,0)+IF(AL33&gt;PosPUDL2,PUDL2l*(AL33-PosPUDL2)^2/2,0)+IF(AL33&gt;(PosPUDL2+LePUDL2),-PUDL2l*(AL33-PosPUDL2-LePUDL2)^2/2,0)+IF(AL33&gt;PosPLa1,PLa1l*(AL33-PosPLa1),0)+IF(AL33&gt;PosPLb1,PLb1l*(AL33-PosPLb1),0)</f>
        <v>-22.215000000000003</v>
      </c>
      <c r="AM35" s="67">
        <f>-RL1l*AM33+2*AM33^2/2+IF(AM33&gt;PosPUDL1,PUDL1l*(AM33-PosPUDL1)^2/2,0)+IF(AM33&gt;(PosPUDL1+3),-PUDL1l*(AM33-PosPUDL1-3)^2/2,0)+IF(AM33&gt;PosPUDL2,PUDL2l*(AM33-PosPUDL2)^2/2,0)+IF(AM33&gt;(PosPUDL2+LePUDL2),-PUDL2l*(AM33-PosPUDL2-LePUDL2)^2/2,0)+IF(AM33&gt;PosPLa1,PLa1l*(AM33-PosPLa1),0)+IF(AM33&gt;PosPLb1,PLb1l*(AM33-PosPLb1),0)</f>
        <v>-22.518400000000003</v>
      </c>
      <c r="AN35" s="67">
        <f>-RL1l*AN33+2*AN33^2/2+IF(AN33&gt;PosPUDL1,PUDL1l*(AN33-PosPUDL1)^2/2,0)+IF(AN33&gt;(PosPUDL1+3),-PUDL1l*(AN33-PosPUDL1-3)^2/2,0)+IF(AN33&gt;PosPUDL2,PUDL2l*(AN33-PosPUDL2)^2/2,0)+IF(AN33&gt;(PosPUDL2+LePUDL2),-PUDL2l*(AN33-PosPUDL2-LePUDL2)^2/2,0)+IF(AN33&gt;PosPLa1,PLa1l*(AN33-PosPLa1),0)+IF(AN33&gt;PosPLb1,PLb1l*(AN33-PosPLb1),0)</f>
        <v>-22.802600000000002</v>
      </c>
      <c r="AO35" s="67">
        <f>-RL1l*AO33+2*AO33^2/2+IF(AO33&gt;PosPUDL1,PUDL1l*(AO33-PosPUDL1)^2/2,0)+IF(AO33&gt;(PosPUDL1+3),-PUDL1l*(AO33-PosPUDL1-3)^2/2,0)+IF(AO33&gt;PosPUDL2,PUDL2l*(AO33-PosPUDL2)^2/2,0)+IF(AO33&gt;(PosPUDL2+LePUDL2),-PUDL2l*(AO33-PosPUDL2-LePUDL2)^2/2,0)+IF(AO33&gt;PosPLa1,PLa1l*(AO33-PosPLa1),0)+IF(AO33&gt;PosPLb1,PLb1l*(AO33-PosPLb1),0)</f>
        <v>-22.9876</v>
      </c>
      <c r="AP35" s="67">
        <f>-RL1l*AP33+2*AP33^2/2+IF(AP33&gt;PosPUDL1,PUDL1l*(AP33-PosPUDL1)^2/2,0)+IF(AP33&gt;(PosPUDL1+3),-PUDL1l*(AP33-PosPUDL1-3)^2/2,0)+IF(AP33&gt;PosPUDL2,PUDL2l*(AP33-PosPUDL2)^2/2,0)+IF(AP33&gt;(PosPUDL2+LePUDL2),-PUDL2l*(AP33-PosPUDL2-LePUDL2)^2/2,0)+IF(AP33&gt;PosPLa1,PLa1l*(AP33-PosPLa1),0)+IF(AP33&gt;PosPLb1,PLb1l*(AP33-PosPLb1),0)</f>
        <v>-23.073400000000003</v>
      </c>
      <c r="AQ35" s="67">
        <f>-RL1l*AQ33+2*AQ33^2/2+IF(AQ33&gt;PosPUDL1,PUDL1l*(AQ33-PosPUDL1)^2/2,0)+IF(AQ33&gt;(PosPUDL1+3),-PUDL1l*(AQ33-PosPUDL1-3)^2/2,0)+IF(AQ33&gt;PosPUDL2,PUDL2l*(AQ33-PosPUDL2)^2/2,0)+IF(AQ33&gt;(PosPUDL2+LePUDL2),-PUDL2l*(AQ33-PosPUDL2-LePUDL2)^2/2,0)+IF(AQ33&gt;PosPLa1,PLa1l*(AQ33-PosPLa1),0)+IF(AQ33&gt;PosPLb1,PLb1l*(AQ33-PosPLb1),0)</f>
        <v>-23.140000000000004</v>
      </c>
      <c r="AR35" s="67">
        <f>-RL1l*AR33+2*AR33^2/2+IF(AR33&gt;PosPUDL1,PUDL1l*(AR33-PosPUDL1)^2/2,0)+IF(AR33&gt;(PosPUDL1+3),-PUDL1l*(AR33-PosPUDL1-3)^2/2,0)+IF(AR33&gt;PosPUDL2,PUDL2l*(AR33-PosPUDL2)^2/2,0)+IF(AR33&gt;(PosPUDL2+LePUDL2),-PUDL2l*(AR33-PosPUDL2-LePUDL2)^2/2,0)+IF(AR33&gt;PosPLa1,PLa1l*(AR33-PosPLa1),0)+IF(AR33&gt;PosPLb1,PLb1l*(AR33-PosPLb1),0)</f>
        <v>-23.187400000000004</v>
      </c>
      <c r="AS35" s="67">
        <f>-RL1l*AS33+2*AS33^2/2+IF(AS33&gt;PosPUDL1,PUDL1l*(AS33-PosPUDL1)^2/2,0)+IF(AS33&gt;(PosPUDL1+3),-PUDL1l*(AS33-PosPUDL1-3)^2/2,0)+IF(AS33&gt;PosPUDL2,PUDL2l*(AS33-PosPUDL2)^2/2,0)+IF(AS33&gt;(PosPUDL2+LePUDL2),-PUDL2l*(AS33-PosPUDL2-LePUDL2)^2/2,0)+IF(AS33&gt;PosPLa1,PLa1l*(AS33-PosPLa1),0)+IF(AS33&gt;PosPLb1,PLb1l*(AS33-PosPLb1),0)</f>
        <v>-23.215600000000002</v>
      </c>
      <c r="AT35" s="67">
        <f>-RL1l*AT33+2*AT33^2/2+IF(AT33&gt;PosPUDL1,PUDL1l*(AT33-PosPUDL1)^2/2,0)+IF(AT33&gt;(PosPUDL1+3),-PUDL1l*(AT33-PosPUDL1-3)^2/2,0)+IF(AT33&gt;PosPUDL2,PUDL2l*(AT33-PosPUDL2)^2/2,0)+IF(AT33&gt;(PosPUDL2+LePUDL2),-PUDL2l*(AT33-PosPUDL2-LePUDL2)^2/2,0)+IF(AT33&gt;PosPLa1,PLa1l*(AT33-PosPLa1),0)+IF(AT33&gt;PosPLb1,PLb1l*(AT33-PosPLb1),0)</f>
        <v>-23.224600000000002</v>
      </c>
      <c r="AU35" s="67">
        <f>-RL1l*AU33+2*AU33^2/2+IF(AU33&gt;PosPUDL1,PUDL1l*(AU33-PosPUDL1)^2/2,0)+IF(AU33&gt;(PosPUDL1+3),-PUDL1l*(AU33-PosPUDL1-3)^2/2,0)+IF(AU33&gt;PosPUDL2,PUDL2l*(AU33-PosPUDL2)^2/2,0)+IF(AU33&gt;(PosPUDL2+LePUDL2),-PUDL2l*(AU33-PosPUDL2-LePUDL2)^2/2,0)+IF(AU33&gt;PosPLa1,PLa1l*(AU33-PosPLa1),0)+IF(AU33&gt;PosPLb1,PLb1l*(AU33-PosPLb1),0)</f>
        <v>-23.214400000000001</v>
      </c>
      <c r="AV35" s="67">
        <f>-RL1l*AV33+2*AV33^2/2+IF(AV33&gt;PosPUDL1,PUDL1l*(AV33-PosPUDL1)^2/2,0)+IF(AV33&gt;(PosPUDL1+3),-PUDL1l*(AV33-PosPUDL1-3)^2/2,0)+IF(AV33&gt;PosPUDL2,PUDL2l*(AV33-PosPUDL2)^2/2,0)+IF(AV33&gt;(PosPUDL2+LePUDL2),-PUDL2l*(AV33-PosPUDL2-LePUDL2)^2/2,0)+IF(AV33&gt;PosPLa1,PLa1l*(AV33-PosPLa1),0)+IF(AV33&gt;PosPLb1,PLb1l*(AV33-PosPLb1),0)</f>
        <v>-23.184999999999999</v>
      </c>
      <c r="AW35" s="67">
        <f>-RL1l*AW33+2*AW33^2/2+IF(AW33&gt;PosPUDL1,PUDL1l*(AW33-PosPUDL1)^2/2,0)+IF(AW33&gt;(PosPUDL1+3),-PUDL1l*(AW33-PosPUDL1-3)^2/2,0)+IF(AW33&gt;PosPUDL2,PUDL2l*(AW33-PosPUDL2)^2/2,0)+IF(AW33&gt;(PosPUDL2+LePUDL2),-PUDL2l*(AW33-PosPUDL2-LePUDL2)^2/2,0)+IF(AW33&gt;PosPLa1,PLa1l*(AW33-PosPLa1),0)+IF(AW33&gt;PosPLb1,PLb1l*(AW33-PosPLb1),0)</f>
        <v>-23.136400000000002</v>
      </c>
      <c r="AX35" s="67">
        <f>-RL1l*AX33+2*AX33^2/2+IF(AX33&gt;PosPUDL1,PUDL1l*(AX33-PosPUDL1)^2/2,0)+IF(AX33&gt;(PosPUDL1+3),-PUDL1l*(AX33-PosPUDL1-3)^2/2,0)+IF(AX33&gt;PosPUDL2,PUDL2l*(AX33-PosPUDL2)^2/2,0)+IF(AX33&gt;(PosPUDL2+LePUDL2),-PUDL2l*(AX33-PosPUDL2-LePUDL2)^2/2,0)+IF(AX33&gt;PosPLa1,PLa1l*(AX33-PosPLa1),0)+IF(AX33&gt;PosPLb1,PLb1l*(AX33-PosPLb1),0)</f>
        <v>-23.068600000000004</v>
      </c>
      <c r="AY35" s="67">
        <f>-RL1l*AY33+2*AY33^2/2+IF(AY33&gt;PosPUDL1,PUDL1l*(AY33-PosPUDL1)^2/2,0)+IF(AY33&gt;(PosPUDL1+3),-PUDL1l*(AY33-PosPUDL1-3)^2/2,0)+IF(AY33&gt;PosPUDL2,PUDL2l*(AY33-PosPUDL2)^2/2,0)+IF(AY33&gt;(PosPUDL2+LePUDL2),-PUDL2l*(AY33-PosPUDL2-LePUDL2)^2/2,0)+IF(AY33&gt;PosPLa1,PLa1l*(AY33-PosPLa1),0)+IF(AY33&gt;PosPLb1,PLb1l*(AY33-PosPLb1),0)</f>
        <v>-22.9816</v>
      </c>
      <c r="AZ35" s="67">
        <f>-RL1l*AZ33+2*AZ33^2/2+IF(AZ33&gt;PosPUDL1,PUDL1l*(AZ33-PosPUDL1)^2/2,0)+IF(AZ33&gt;(PosPUDL1+3),-PUDL1l*(AZ33-PosPUDL1-3)^2/2,0)+IF(AZ33&gt;PosPUDL2,PUDL2l*(AZ33-PosPUDL2)^2/2,0)+IF(AZ33&gt;(PosPUDL2+LePUDL2),-PUDL2l*(AZ33-PosPUDL2-LePUDL2)^2/2,0)+IF(AZ33&gt;PosPLa1,PLa1l*(AZ33-PosPLa1),0)+IF(AZ33&gt;PosPLb1,PLb1l*(AZ33-PosPLb1),0)</f>
        <v>-22.875399999999999</v>
      </c>
      <c r="BA35" s="67">
        <f>-RL1l*BA33+2*BA33^2/2+IF(BA33&gt;PosPUDL1,PUDL1l*(BA33-PosPUDL1)^2/2,0)+IF(BA33&gt;(PosPUDL1+3),-PUDL1l*(BA33-PosPUDL1-3)^2/2,0)+IF(BA33&gt;PosPUDL2,PUDL2l*(BA33-PosPUDL2)^2/2,0)+IF(BA33&gt;(PosPUDL2+LePUDL2),-PUDL2l*(BA33-PosPUDL2-LePUDL2)^2/2,0)+IF(BA33&gt;PosPLa1,PLa1l*(BA33-PosPLa1),0)+IF(BA33&gt;PosPLb1,PLb1l*(BA33-PosPLb1),0)</f>
        <v>-22.749999999999996</v>
      </c>
      <c r="BB35" s="67">
        <f>-RL1l*BB33+2*BB33^2/2+IF(BB33&gt;PosPUDL1,PUDL1l*(BB33-PosPUDL1)^2/2,0)+IF(BB33&gt;(PosPUDL1+3),-PUDL1l*(BB33-PosPUDL1-3)^2/2,0)+IF(BB33&gt;PosPUDL2,PUDL2l*(BB33-PosPUDL2)^2/2,0)+IF(BB33&gt;(PosPUDL2+LePUDL2),-PUDL2l*(BB33-PosPUDL2-LePUDL2)^2/2,0)+IF(BB33&gt;PosPLa1,PLa1l*(BB33-PosPLa1),0)+IF(BB33&gt;PosPLb1,PLb1l*(BB33-PosPLb1),0)</f>
        <v>-22.608599999999999</v>
      </c>
      <c r="BC35" s="67">
        <f>-RL1l*BC33+2*BC33^2/2+IF(BC33&gt;PosPUDL1,PUDL1l*(BC33-PosPUDL1)^2/2,0)+IF(BC33&gt;(PosPUDL1+3),-PUDL1l*(BC33-PosPUDL1-3)^2/2,0)+IF(BC33&gt;PosPUDL2,PUDL2l*(BC33-PosPUDL2)^2/2,0)+IF(BC33&gt;(PosPUDL2+LePUDL2),-PUDL2l*(BC33-PosPUDL2-LePUDL2)^2/2,0)+IF(BC33&gt;PosPLa1,PLa1l*(BC33-PosPLa1),0)+IF(BC33&gt;PosPLb1,PLb1l*(BC33-PosPLb1),0)</f>
        <v>-22.454399999999996</v>
      </c>
      <c r="BD35" s="67">
        <f>-RL1l*BD33+2*BD33^2/2+IF(BD33&gt;PosPUDL1,PUDL1l*(BD33-PosPUDL1)^2/2,0)+IF(BD33&gt;(PosPUDL1+3),-PUDL1l*(BD33-PosPUDL1-3)^2/2,0)+IF(BD33&gt;PosPUDL2,PUDL2l*(BD33-PosPUDL2)^2/2,0)+IF(BD33&gt;(PosPUDL2+LePUDL2),-PUDL2l*(BD33-PosPUDL2-LePUDL2)^2/2,0)+IF(BD33&gt;PosPLa1,PLa1l*(BD33-PosPLa1),0)+IF(BD33&gt;PosPLb1,PLb1l*(BD33-PosPLb1),0)</f>
        <v>-22.287399999999998</v>
      </c>
      <c r="BE35" s="67">
        <f>-RL1l*BE33+2*BE33^2/2+IF(BE33&gt;PosPUDL1,PUDL1l*(BE33-PosPUDL1)^2/2,0)+IF(BE33&gt;(PosPUDL1+3),-PUDL1l*(BE33-PosPUDL1-3)^2/2,0)+IF(BE33&gt;PosPUDL2,PUDL2l*(BE33-PosPUDL2)^2/2,0)+IF(BE33&gt;(PosPUDL2+LePUDL2),-PUDL2l*(BE33-PosPUDL2-LePUDL2)^2/2,0)+IF(BE33&gt;PosPLa1,PLa1l*(BE33-PosPLa1),0)+IF(BE33&gt;PosPLb1,PLb1l*(BE33-PosPLb1),0)</f>
        <v>-22.107599999999998</v>
      </c>
      <c r="BF35" s="67">
        <f>-RL1l*BF33+2*BF33^2/2+IF(BF33&gt;PosPUDL1,PUDL1l*(BF33-PosPUDL1)^2/2,0)+IF(BF33&gt;(PosPUDL1+3),-PUDL1l*(BF33-PosPUDL1-3)^2/2,0)+IF(BF33&gt;PosPUDL2,PUDL2l*(BF33-PosPUDL2)^2/2,0)+IF(BF33&gt;(PosPUDL2+LePUDL2),-PUDL2l*(BF33-PosPUDL2-LePUDL2)^2/2,0)+IF(BF33&gt;PosPLa1,PLa1l*(BF33-PosPLa1),0)+IF(BF33&gt;PosPLb1,PLb1l*(BF33-PosPLb1),0)</f>
        <v>-21.914999999999999</v>
      </c>
      <c r="BG35" s="67">
        <f>-RL1l*BG33+2*BG33^2/2+IF(BG33&gt;PosPUDL1,PUDL1l*(BG33-PosPUDL1)^2/2,0)+IF(BG33&gt;(PosPUDL1+3),-PUDL1l*(BG33-PosPUDL1-3)^2/2,0)+IF(BG33&gt;PosPUDL2,PUDL2l*(BG33-PosPUDL2)^2/2,0)+IF(BG33&gt;(PosPUDL2+LePUDL2),-PUDL2l*(BG33-PosPUDL2-LePUDL2)^2/2,0)+IF(BG33&gt;PosPLa1,PLa1l*(BG33-PosPLa1),0)+IF(BG33&gt;PosPLb1,PLb1l*(BG33-PosPLb1),0)</f>
        <v>-21.709599999999998</v>
      </c>
      <c r="BH35" s="67">
        <f>-RL1l*BH33+2*BH33^2/2+IF(BH33&gt;PosPUDL1,PUDL1l*(BH33-PosPUDL1)^2/2,0)+IF(BH33&gt;(PosPUDL1+3),-PUDL1l*(BH33-PosPUDL1-3)^2/2,0)+IF(BH33&gt;PosPUDL2,PUDL2l*(BH33-PosPUDL2)^2/2,0)+IF(BH33&gt;(PosPUDL2+LePUDL2),-PUDL2l*(BH33-PosPUDL2-LePUDL2)^2/2,0)+IF(BH33&gt;PosPLa1,PLa1l*(BH33-PosPLa1),0)+IF(BH33&gt;PosPLb1,PLb1l*(BH33-PosPLb1),0)</f>
        <v>-21.491399999999992</v>
      </c>
      <c r="BI35" s="67">
        <f>-RL1l*BI33+2*BI33^2/2+IF(BI33&gt;PosPUDL1,PUDL1l*(BI33-PosPUDL1)^2/2,0)+IF(BI33&gt;(PosPUDL1+3),-PUDL1l*(BI33-PosPUDL1-3)^2/2,0)+IF(BI33&gt;PosPUDL2,PUDL2l*(BI33-PosPUDL2)^2/2,0)+IF(BI33&gt;(PosPUDL2+LePUDL2),-PUDL2l*(BI33-PosPUDL2-LePUDL2)^2/2,0)+IF(BI33&gt;PosPLa1,PLa1l*(BI33-PosPLa1),0)+IF(BI33&gt;PosPLb1,PLb1l*(BI33-PosPLb1),0)</f>
        <v>-21.26039999999999</v>
      </c>
      <c r="BJ35" s="67">
        <f>-RL1l*BJ33+2*BJ33^2/2+IF(BJ33&gt;PosPUDL1,PUDL1l*(BJ33-PosPUDL1)^2/2,0)+IF(BJ33&gt;(PosPUDL1+3),-PUDL1l*(BJ33-PosPUDL1-3)^2/2,0)+IF(BJ33&gt;PosPUDL2,PUDL2l*(BJ33-PosPUDL2)^2/2,0)+IF(BJ33&gt;(PosPUDL2+LePUDL2),-PUDL2l*(BJ33-PosPUDL2-LePUDL2)^2/2,0)+IF(BJ33&gt;PosPLa1,PLa1l*(BJ33-PosPLa1),0)+IF(BJ33&gt;PosPLb1,PLb1l*(BJ33-PosPLb1),0)</f>
        <v>-21.016599999999993</v>
      </c>
      <c r="BK35" s="67">
        <f>-RL1l*BK33+2*BK33^2/2+IF(BK33&gt;PosPUDL1,PUDL1l*(BK33-PosPUDL1)^2/2,0)+IF(BK33&gt;(PosPUDL1+3),-PUDL1l*(BK33-PosPUDL1-3)^2/2,0)+IF(BK33&gt;PosPUDL2,PUDL2l*(BK33-PosPUDL2)^2/2,0)+IF(BK33&gt;(PosPUDL2+LePUDL2),-PUDL2l*(BK33-PosPUDL2-LePUDL2)^2/2,0)+IF(BK33&gt;PosPLa1,PLa1l*(BK33-PosPLa1),0)+IF(BK33&gt;PosPLb1,PLb1l*(BK33-PosPLb1),0)</f>
        <v>-20.759999999999987</v>
      </c>
      <c r="BL35" s="67">
        <f>-RL1l*BL33+2*BL33^2/2+IF(BL33&gt;PosPUDL1,PUDL1l*(BL33-PosPUDL1)^2/2,0)+IF(BL33&gt;(PosPUDL1+3),-PUDL1l*(BL33-PosPUDL1-3)^2/2,0)+IF(BL33&gt;PosPUDL2,PUDL2l*(BL33-PosPUDL2)^2/2,0)+IF(BL33&gt;(PosPUDL2+LePUDL2),-PUDL2l*(BL33-PosPUDL2-LePUDL2)^2/2,0)+IF(BL33&gt;PosPLa1,PLa1l*(BL33-PosPLa1),0)+IF(BL33&gt;PosPLb1,PLb1l*(BL33-PosPLb1),0)</f>
        <v>-20.49059999999999</v>
      </c>
      <c r="BM35" s="67">
        <f>-RL1l*BM33+2*BM33^2/2+IF(BM33&gt;PosPUDL1,PUDL1l*(BM33-PosPUDL1)^2/2,0)+IF(BM33&gt;(PosPUDL1+3),-PUDL1l*(BM33-PosPUDL1-3)^2/2,0)+IF(BM33&gt;PosPUDL2,PUDL2l*(BM33-PosPUDL2)^2/2,0)+IF(BM33&gt;(PosPUDL2+LePUDL2),-PUDL2l*(BM33-PosPUDL2-LePUDL2)^2/2,0)+IF(BM33&gt;PosPLa1,PLa1l*(BM33-PosPLa1),0)+IF(BM33&gt;PosPLb1,PLb1l*(BM33-PosPLb1),0)</f>
        <v>-20.20839999999999</v>
      </c>
      <c r="BN35" s="67">
        <f>-RL1l*BN33+2*BN33^2/2+IF(BN33&gt;PosPUDL1,PUDL1l*(BN33-PosPUDL1)^2/2,0)+IF(BN33&gt;(PosPUDL1+3),-PUDL1l*(BN33-PosPUDL1-3)^2/2,0)+IF(BN33&gt;PosPUDL2,PUDL2l*(BN33-PosPUDL2)^2/2,0)+IF(BN33&gt;(PosPUDL2+LePUDL2),-PUDL2l*(BN33-PosPUDL2-LePUDL2)^2/2,0)+IF(BN33&gt;PosPLa1,PLa1l*(BN33-PosPLa1),0)+IF(BN33&gt;PosPLb1,PLb1l*(BN33-PosPLb1),0)</f>
        <v>-19.913399999999989</v>
      </c>
      <c r="BO35" s="67">
        <f>-RL1l*BO33+2*BO33^2/2+IF(BO33&gt;PosPUDL1,PUDL1l*(BO33-PosPUDL1)^2/2,0)+IF(BO33&gt;(PosPUDL1+3),-PUDL1l*(BO33-PosPUDL1-3)^2/2,0)+IF(BO33&gt;PosPUDL2,PUDL2l*(BO33-PosPUDL2)^2/2,0)+IF(BO33&gt;(PosPUDL2+LePUDL2),-PUDL2l*(BO33-PosPUDL2-LePUDL2)^2/2,0)+IF(BO33&gt;PosPLa1,PLa1l*(BO33-PosPLa1),0)+IF(BO33&gt;PosPLb1,PLb1l*(BO33-PosPLb1),0)</f>
        <v>-19.605599999999985</v>
      </c>
      <c r="BP35" s="67">
        <f>-RL1l*BP33+2*BP33^2/2+IF(BP33&gt;PosPUDL1,PUDL1l*(BP33-PosPUDL1)^2/2,0)+IF(BP33&gt;(PosPUDL1+3),-PUDL1l*(BP33-PosPUDL1-3)^2/2,0)+IF(BP33&gt;PosPUDL2,PUDL2l*(BP33-PosPUDL2)^2/2,0)+IF(BP33&gt;(PosPUDL2+LePUDL2),-PUDL2l*(BP33-PosPUDL2-LePUDL2)^2/2,0)+IF(BP33&gt;PosPLa1,PLa1l*(BP33-PosPLa1),0)+IF(BP33&gt;PosPLb1,PLb1l*(BP33-PosPLb1),0)</f>
        <v>-19.284999999999986</v>
      </c>
      <c r="BQ35" s="67">
        <f>-RL1l*BQ33+2*BQ33^2/2+IF(BQ33&gt;PosPUDL1,PUDL1l*(BQ33-PosPUDL1)^2/2,0)+IF(BQ33&gt;(PosPUDL1+3),-PUDL1l*(BQ33-PosPUDL1-3)^2/2,0)+IF(BQ33&gt;PosPUDL2,PUDL2l*(BQ33-PosPUDL2)^2/2,0)+IF(BQ33&gt;(PosPUDL2+LePUDL2),-PUDL2l*(BQ33-PosPUDL2-LePUDL2)^2/2,0)+IF(BQ33&gt;PosPLa1,PLa1l*(BQ33-PosPLa1),0)+IF(BQ33&gt;PosPLb1,PLb1l*(BQ33-PosPLb1),0)</f>
        <v>-18.951599999999985</v>
      </c>
      <c r="BR35" s="67">
        <f>-RL1l*BR33+2*BR33^2/2+IF(BR33&gt;PosPUDL1,PUDL1l*(BR33-PosPUDL1)^2/2,0)+IF(BR33&gt;(PosPUDL1+3),-PUDL1l*(BR33-PosPUDL1-3)^2/2,0)+IF(BR33&gt;PosPUDL2,PUDL2l*(BR33-PosPUDL2)^2/2,0)+IF(BR33&gt;(PosPUDL2+LePUDL2),-PUDL2l*(BR33-PosPUDL2-LePUDL2)^2/2,0)+IF(BR33&gt;PosPLa1,PLa1l*(BR33-PosPLa1),0)+IF(BR33&gt;PosPLb1,PLb1l*(BR33-PosPLb1),0)</f>
        <v>-18.605399999999985</v>
      </c>
      <c r="BS35" s="67">
        <f>-RL1l*BS33+2*BS33^2/2+IF(BS33&gt;PosPUDL1,PUDL1l*(BS33-PosPUDL1)^2/2,0)+IF(BS33&gt;(PosPUDL1+3),-PUDL1l*(BS33-PosPUDL1-3)^2/2,0)+IF(BS33&gt;PosPUDL2,PUDL2l*(BS33-PosPUDL2)^2/2,0)+IF(BS33&gt;(PosPUDL2+LePUDL2),-PUDL2l*(BS33-PosPUDL2-LePUDL2)^2/2,0)+IF(BS33&gt;PosPLa1,PLa1l*(BS33-PosPLa1),0)+IF(BS33&gt;PosPLb1,PLb1l*(BS33-PosPLb1),0)</f>
        <v>-18.246399999999984</v>
      </c>
      <c r="BT35" s="67">
        <f>-RL1l*BT33+2*BT33^2/2+IF(BT33&gt;PosPUDL1,PUDL1l*(BT33-PosPUDL1)^2/2,0)+IF(BT33&gt;(PosPUDL1+3),-PUDL1l*(BT33-PosPUDL1-3)^2/2,0)+IF(BT33&gt;PosPUDL2,PUDL2l*(BT33-PosPUDL2)^2/2,0)+IF(BT33&gt;(PosPUDL2+LePUDL2),-PUDL2l*(BT33-PosPUDL2-LePUDL2)^2/2,0)+IF(BT33&gt;PosPLa1,PLa1l*(BT33-PosPLa1),0)+IF(BT33&gt;PosPLb1,PLb1l*(BT33-PosPLb1),0)</f>
        <v>-17.874599999999987</v>
      </c>
      <c r="BU35" s="67">
        <f>-RL1l*BU33+2*BU33^2/2+IF(BU33&gt;PosPUDL1,PUDL1l*(BU33-PosPUDL1)^2/2,0)+IF(BU33&gt;(PosPUDL1+3),-PUDL1l*(BU33-PosPUDL1-3)^2/2,0)+IF(BU33&gt;PosPUDL2,PUDL2l*(BU33-PosPUDL2)^2/2,0)+IF(BU33&gt;(PosPUDL2+LePUDL2),-PUDL2l*(BU33-PosPUDL2-LePUDL2)^2/2,0)+IF(BU33&gt;PosPLa1,PLa1l*(BU33-PosPLa1),0)+IF(BU33&gt;PosPLb1,PLb1l*(BU33-PosPLb1),0)</f>
        <v>-17.489999999999988</v>
      </c>
      <c r="BV35" s="67">
        <f>-RL1l*BV33+2*BV33^2/2+IF(BV33&gt;PosPUDL1,PUDL1l*(BV33-PosPUDL1)^2/2,0)+IF(BV33&gt;(PosPUDL1+3),-PUDL1l*(BV33-PosPUDL1-3)^2/2,0)+IF(BV33&gt;PosPUDL2,PUDL2l*(BV33-PosPUDL2)^2/2,0)+IF(BV33&gt;(PosPUDL2+LePUDL2),-PUDL2l*(BV33-PosPUDL2-LePUDL2)^2/2,0)+IF(BV33&gt;PosPLa1,PLa1l*(BV33-PosPLa1),0)+IF(BV33&gt;PosPLb1,PLb1l*(BV33-PosPLb1),0)</f>
        <v>-17.092599999999987</v>
      </c>
      <c r="BW35" s="67">
        <f>-RL1l*BW33+2*BW33^2/2+IF(BW33&gt;PosPUDL1,PUDL1l*(BW33-PosPUDL1)^2/2,0)+IF(BW33&gt;(PosPUDL1+3),-PUDL1l*(BW33-PosPUDL1-3)^2/2,0)+IF(BW33&gt;PosPUDL2,PUDL2l*(BW33-PosPUDL2)^2/2,0)+IF(BW33&gt;(PosPUDL2+LePUDL2),-PUDL2l*(BW33-PosPUDL2-LePUDL2)^2/2,0)+IF(BW33&gt;PosPLa1,PLa1l*(BW33-PosPLa1),0)+IF(BW33&gt;PosPLb1,PLb1l*(BW33-PosPLb1),0)</f>
        <v>-16.682399999999983</v>
      </c>
      <c r="BX35" s="67">
        <f>-RL1l*BX33+2*BX33^2/2+IF(BX33&gt;PosPUDL1,PUDL1l*(BX33-PosPUDL1)^2/2,0)+IF(BX33&gt;(PosPUDL1+3),-PUDL1l*(BX33-PosPUDL1-3)^2/2,0)+IF(BX33&gt;PosPUDL2,PUDL2l*(BX33-PosPUDL2)^2/2,0)+IF(BX33&gt;(PosPUDL2+LePUDL2),-PUDL2l*(BX33-PosPUDL2-LePUDL2)^2/2,0)+IF(BX33&gt;PosPLa1,PLa1l*(BX33-PosPLa1),0)+IF(BX33&gt;PosPLb1,PLb1l*(BX33-PosPLb1),0)</f>
        <v>-16.259399999999985</v>
      </c>
      <c r="BY35" s="67">
        <f>-RL1l*BY33+2*BY33^2/2+IF(BY33&gt;PosPUDL1,PUDL1l*(BY33-PosPUDL1)^2/2,0)+IF(BY33&gt;(PosPUDL1+3),-PUDL1l*(BY33-PosPUDL1-3)^2/2,0)+IF(BY33&gt;PosPUDL2,PUDL2l*(BY33-PosPUDL2)^2/2,0)+IF(BY33&gt;(PosPUDL2+LePUDL2),-PUDL2l*(BY33-PosPUDL2-LePUDL2)^2/2,0)+IF(BY33&gt;PosPLa1,PLa1l*(BY33-PosPLa1),0)+IF(BY33&gt;PosPLb1,PLb1l*(BY33-PosPLb1),0)</f>
        <v>-15.823599999999985</v>
      </c>
      <c r="BZ35" s="67">
        <f>-RL1l*BZ33+2*BZ33^2/2+IF(BZ33&gt;PosPUDL1,PUDL1l*(BZ33-PosPUDL1)^2/2,0)+IF(BZ33&gt;(PosPUDL1+3),-PUDL1l*(BZ33-PosPUDL1-3)^2/2,0)+IF(BZ33&gt;PosPUDL2,PUDL2l*(BZ33-PosPUDL2)^2/2,0)+IF(BZ33&gt;(PosPUDL2+LePUDL2),-PUDL2l*(BZ33-PosPUDL2-LePUDL2)^2/2,0)+IF(BZ33&gt;PosPLa1,PLa1l*(BZ33-PosPLa1),0)+IF(BZ33&gt;PosPLb1,PLb1l*(BZ33-PosPLb1),0)</f>
        <v>-15.374999999999982</v>
      </c>
      <c r="CA35" s="67">
        <f>-RL1l*CA33+2*CA33^2/2+IF(CA33&gt;PosPUDL1,PUDL1l*(CA33-PosPUDL1)^2/2,0)+IF(CA33&gt;(PosPUDL1+3),-PUDL1l*(CA33-PosPUDL1-3)^2/2,0)+IF(CA33&gt;PosPUDL2,PUDL2l*(CA33-PosPUDL2)^2/2,0)+IF(CA33&gt;(PosPUDL2+LePUDL2),-PUDL2l*(CA33-PosPUDL2-LePUDL2)^2/2,0)+IF(CA33&gt;PosPLa1,PLa1l*(CA33-PosPLa1),0)+IF(CA33&gt;PosPLb1,PLb1l*(CA33-PosPLb1),0)</f>
        <v>-14.913599999999981</v>
      </c>
      <c r="CB35" s="67">
        <f>-RL1l*CB33+2*CB33^2/2+IF(CB33&gt;PosPUDL1,PUDL1l*(CB33-PosPUDL1)^2/2,0)+IF(CB33&gt;(PosPUDL1+3),-PUDL1l*(CB33-PosPUDL1-3)^2/2,0)+IF(CB33&gt;PosPUDL2,PUDL2l*(CB33-PosPUDL2)^2/2,0)+IF(CB33&gt;(PosPUDL2+LePUDL2),-PUDL2l*(CB33-PosPUDL2-LePUDL2)^2/2,0)+IF(CB33&gt;PosPLa1,PLa1l*(CB33-PosPLa1),0)+IF(CB33&gt;PosPLb1,PLb1l*(CB33-PosPLb1),0)</f>
        <v>-14.439399999999981</v>
      </c>
      <c r="CC35" s="67">
        <f>-RL1l*CC33+2*CC33^2/2+IF(CC33&gt;PosPUDL1,PUDL1l*(CC33-PosPUDL1)^2/2,0)+IF(CC33&gt;(PosPUDL1+3),-PUDL1l*(CC33-PosPUDL1-3)^2/2,0)+IF(CC33&gt;PosPUDL2,PUDL2l*(CC33-PosPUDL2)^2/2,0)+IF(CC33&gt;(PosPUDL2+LePUDL2),-PUDL2l*(CC33-PosPUDL2-LePUDL2)^2/2,0)+IF(CC33&gt;PosPLa1,PLa1l*(CC33-PosPLa1),0)+IF(CC33&gt;PosPLb1,PLb1l*(CC33-PosPLb1),0)</f>
        <v>-13.952399999999979</v>
      </c>
      <c r="CD35" s="67">
        <f>-RL1l*CD33+2*CD33^2/2+IF(CD33&gt;PosPUDL1,PUDL1l*(CD33-PosPUDL1)^2/2,0)+IF(CD33&gt;(PosPUDL1+3),-PUDL1l*(CD33-PosPUDL1-3)^2/2,0)+IF(CD33&gt;PosPUDL2,PUDL2l*(CD33-PosPUDL2)^2/2,0)+IF(CD33&gt;(PosPUDL2+LePUDL2),-PUDL2l*(CD33-PosPUDL2-LePUDL2)^2/2,0)+IF(CD33&gt;PosPLa1,PLa1l*(CD33-PosPLa1),0)+IF(CD33&gt;PosPLb1,PLb1l*(CD33-PosPLb1),0)</f>
        <v>-13.452599999999979</v>
      </c>
      <c r="CE35" s="67">
        <f>-RL1l*CE33+2*CE33^2/2+IF(CE33&gt;PosPUDL1,PUDL1l*(CE33-PosPUDL1)^2/2,0)+IF(CE33&gt;(PosPUDL1+3),-PUDL1l*(CE33-PosPUDL1-3)^2/2,0)+IF(CE33&gt;PosPUDL2,PUDL2l*(CE33-PosPUDL2)^2/2,0)+IF(CE33&gt;(PosPUDL2+LePUDL2),-PUDL2l*(CE33-PosPUDL2-LePUDL2)^2/2,0)+IF(CE33&gt;PosPLa1,PLa1l*(CE33-PosPLa1),0)+IF(CE33&gt;PosPLb1,PLb1l*(CE33-PosPLb1),0)</f>
        <v>-12.93999999999998</v>
      </c>
      <c r="CF35" s="67">
        <f>-RL1l*CF33+2*CF33^2/2+IF(CF33&gt;PosPUDL1,PUDL1l*(CF33-PosPUDL1)^2/2,0)+IF(CF33&gt;(PosPUDL1+3),-PUDL1l*(CF33-PosPUDL1-3)^2/2,0)+IF(CF33&gt;PosPUDL2,PUDL2l*(CF33-PosPUDL2)^2/2,0)+IF(CF33&gt;(PosPUDL2+LePUDL2),-PUDL2l*(CF33-PosPUDL2-LePUDL2)^2/2,0)+IF(CF33&gt;PosPLa1,PLa1l*(CF33-PosPLa1),0)+IF(CF33&gt;PosPLb1,PLb1l*(CF33-PosPLb1),0)</f>
        <v>-12.414599999999979</v>
      </c>
      <c r="CG35" s="67">
        <f>-RL1l*CG33+2*CG33^2/2+IF(CG33&gt;PosPUDL1,PUDL1l*(CG33-PosPUDL1)^2/2,0)+IF(CG33&gt;(PosPUDL1+3),-PUDL1l*(CG33-PosPUDL1-3)^2/2,0)+IF(CG33&gt;PosPUDL2,PUDL2l*(CG33-PosPUDL2)^2/2,0)+IF(CG33&gt;(PosPUDL2+LePUDL2),-PUDL2l*(CG33-PosPUDL2-LePUDL2)^2/2,0)+IF(CG33&gt;PosPLa1,PLa1l*(CG33-PosPLa1),0)+IF(CG33&gt;PosPLb1,PLb1l*(CG33-PosPLb1),0)</f>
        <v>-11.876399999999979</v>
      </c>
      <c r="CH35" s="67">
        <f>-RL1l*CH33+2*CH33^2/2+IF(CH33&gt;PosPUDL1,PUDL1l*(CH33-PosPUDL1)^2/2,0)+IF(CH33&gt;(PosPUDL1+3),-PUDL1l*(CH33-PosPUDL1-3)^2/2,0)+IF(CH33&gt;PosPUDL2,PUDL2l*(CH33-PosPUDL2)^2/2,0)+IF(CH33&gt;(PosPUDL2+LePUDL2),-PUDL2l*(CH33-PosPUDL2-LePUDL2)^2/2,0)+IF(CH33&gt;PosPLa1,PLa1l*(CH33-PosPLa1),0)+IF(CH33&gt;PosPLb1,PLb1l*(CH33-PosPLb1),0)</f>
        <v>-11.325399999999977</v>
      </c>
      <c r="CI35" s="67">
        <f>-RL1l*CI33+2*CI33^2/2+IF(CI33&gt;PosPUDL1,PUDL1l*(CI33-PosPUDL1)^2/2,0)+IF(CI33&gt;(PosPUDL1+3),-PUDL1l*(CI33-PosPUDL1-3)^2/2,0)+IF(CI33&gt;PosPUDL2,PUDL2l*(CI33-PosPUDL2)^2/2,0)+IF(CI33&gt;(PosPUDL2+LePUDL2),-PUDL2l*(CI33-PosPUDL2-LePUDL2)^2/2,0)+IF(CI33&gt;PosPLa1,PLa1l*(CI33-PosPLa1),0)+IF(CI33&gt;PosPLb1,PLb1l*(CI33-PosPLb1),0)</f>
        <v>-10.761599999999977</v>
      </c>
      <c r="CJ35" s="67">
        <f>-RL1l*CJ33+2*CJ33^2/2+IF(CJ33&gt;PosPUDL1,PUDL1l*(CJ33-PosPUDL1)^2/2,0)+IF(CJ33&gt;(PosPUDL1+3),-PUDL1l*(CJ33-PosPUDL1-3)^2/2,0)+IF(CJ33&gt;PosPUDL2,PUDL2l*(CJ33-PosPUDL2)^2/2,0)+IF(CJ33&gt;(PosPUDL2+LePUDL2),-PUDL2l*(CJ33-PosPUDL2-LePUDL2)^2/2,0)+IF(CJ33&gt;PosPLa1,PLa1l*(CJ33-PosPLa1),0)+IF(CJ33&gt;PosPLb1,PLb1l*(CJ33-PosPLb1),0)</f>
        <v>-10.184999999999974</v>
      </c>
      <c r="CK35" s="67">
        <f>-RL1l*CK33+2*CK33^2/2+IF(CK33&gt;PosPUDL1,PUDL1l*(CK33-PosPUDL1)^2/2,0)+IF(CK33&gt;(PosPUDL1+3),-PUDL1l*(CK33-PosPUDL1-3)^2/2,0)+IF(CK33&gt;PosPUDL2,PUDL2l*(CK33-PosPUDL2)^2/2,0)+IF(CK33&gt;(PosPUDL2+LePUDL2),-PUDL2l*(CK33-PosPUDL2-LePUDL2)^2/2,0)+IF(CK33&gt;PosPLa1,PLa1l*(CK33-PosPLa1),0)+IF(CK33&gt;PosPLb1,PLb1l*(CK33-PosPLb1),0)</f>
        <v>-9.5955999999999726</v>
      </c>
      <c r="CL35" s="67">
        <f>-RL1l*CL33+2*CL33^2/2+IF(CL33&gt;PosPUDL1,PUDL1l*(CL33-PosPUDL1)^2/2,0)+IF(CL33&gt;(PosPUDL1+3),-PUDL1l*(CL33-PosPUDL1-3)^2/2,0)+IF(CL33&gt;PosPUDL2,PUDL2l*(CL33-PosPUDL2)^2/2,0)+IF(CL33&gt;(PosPUDL2+LePUDL2),-PUDL2l*(CL33-PosPUDL2-LePUDL2)^2/2,0)+IF(CL33&gt;PosPLa1,PLa1l*(CL33-PosPLa1),0)+IF(CL33&gt;PosPLb1,PLb1l*(CL33-PosPLb1),0)</f>
        <v>-8.9933999999999799</v>
      </c>
      <c r="CM35" s="67">
        <f>-RL1l*CM33+2*CM33^2/2+IF(CM33&gt;PosPUDL1,PUDL1l*(CM33-PosPUDL1)^2/2,0)+IF(CM33&gt;(PosPUDL1+3),-PUDL1l*(CM33-PosPUDL1-3)^2/2,0)+IF(CM33&gt;PosPUDL2,PUDL2l*(CM33-PosPUDL2)^2/2,0)+IF(CM33&gt;(PosPUDL2+LePUDL2),-PUDL2l*(CM33-PosPUDL2-LePUDL2)^2/2,0)+IF(CM33&gt;PosPLa1,PLa1l*(CM33-PosPLa1),0)+IF(CM33&gt;PosPLb1,PLb1l*(CM33-PosPLb1),0)</f>
        <v>-8.3783999999999708</v>
      </c>
      <c r="CN35" s="67">
        <f>-RL1l*CN33+2*CN33^2/2+IF(CN33&gt;PosPUDL1,PUDL1l*(CN33-PosPUDL1)^2/2,0)+IF(CN33&gt;(PosPUDL1+3),-PUDL1l*(CN33-PosPUDL1-3)^2/2,0)+IF(CN33&gt;PosPUDL2,PUDL2l*(CN33-PosPUDL2)^2/2,0)+IF(CN33&gt;(PosPUDL2+LePUDL2),-PUDL2l*(CN33-PosPUDL2-LePUDL2)^2/2,0)+IF(CN33&gt;PosPLa1,PLa1l*(CN33-PosPLa1),0)+IF(CN33&gt;PosPLb1,PLb1l*(CN33-PosPLb1),0)</f>
        <v>-7.750599999999956</v>
      </c>
      <c r="CO35" s="67">
        <f>-RL1l*CO33+2*CO33^2/2+IF(CO33&gt;PosPUDL1,PUDL1l*(CO33-PosPUDL1)^2/2,0)+IF(CO33&gt;(PosPUDL1+3),-PUDL1l*(CO33-PosPUDL1-3)^2/2,0)+IF(CO33&gt;PosPUDL2,PUDL2l*(CO33-PosPUDL2)^2/2,0)+IF(CO33&gt;(PosPUDL2+LePUDL2),-PUDL2l*(CO33-PosPUDL2-LePUDL2)^2/2,0)+IF(CO33&gt;PosPLa1,PLa1l*(CO33-PosPLa1),0)+IF(CO33&gt;PosPLb1,PLb1l*(CO33-PosPLb1),0)</f>
        <v>-7.1099999999999568</v>
      </c>
      <c r="CP35" s="67">
        <f>-RL1l*CP33+2*CP33^2/2+IF(CP33&gt;PosPUDL1,PUDL1l*(CP33-PosPUDL1)^2/2,0)+IF(CP33&gt;(PosPUDL1+3),-PUDL1l*(CP33-PosPUDL1-3)^2/2,0)+IF(CP33&gt;PosPUDL2,PUDL2l*(CP33-PosPUDL2)^2/2,0)+IF(CP33&gt;(PosPUDL2+LePUDL2),-PUDL2l*(CP33-PosPUDL2-LePUDL2)^2/2,0)+IF(CP33&gt;PosPLa1,PLa1l*(CP33-PosPLa1),0)+IF(CP33&gt;PosPLb1,PLb1l*(CP33-PosPLb1),0)</f>
        <v>-6.4565999999999555</v>
      </c>
      <c r="CQ35" s="67">
        <f>-RL1l*CQ33+2*CQ33^2/2+IF(CQ33&gt;PosPUDL1,PUDL1l*(CQ33-PosPUDL1)^2/2,0)+IF(CQ33&gt;(PosPUDL1+3),-PUDL1l*(CQ33-PosPUDL1-3)^2/2,0)+IF(CQ33&gt;PosPUDL2,PUDL2l*(CQ33-PosPUDL2)^2/2,0)+IF(CQ33&gt;(PosPUDL2+LePUDL2),-PUDL2l*(CQ33-PosPUDL2-LePUDL2)^2/2,0)+IF(CQ33&gt;PosPLa1,PLa1l*(CQ33-PosPLa1),0)+IF(CQ33&gt;PosPLb1,PLb1l*(CQ33-PosPLb1),0)</f>
        <v>-5.7903999999999574</v>
      </c>
      <c r="CR35" s="67">
        <f>-RL1l*CR33+2*CR33^2/2+IF(CR33&gt;PosPUDL1,PUDL1l*(CR33-PosPUDL1)^2/2,0)+IF(CR33&gt;(PosPUDL1+3),-PUDL1l*(CR33-PosPUDL1-3)^2/2,0)+IF(CR33&gt;PosPUDL2,PUDL2l*(CR33-PosPUDL2)^2/2,0)+IF(CR33&gt;(PosPUDL2+LePUDL2),-PUDL2l*(CR33-PosPUDL2-LePUDL2)^2/2,0)+IF(CR33&gt;PosPLa1,PLa1l*(CR33-PosPLa1),0)+IF(CR33&gt;PosPLb1,PLb1l*(CR33-PosPLb1),0)</f>
        <v>-5.1113999999999535</v>
      </c>
      <c r="CS35" s="67">
        <f>-RL1l*CS33+2*CS33^2/2+IF(CS33&gt;PosPUDL1,PUDL1l*(CS33-PosPUDL1)^2/2,0)+IF(CS33&gt;(PosPUDL1+3),-PUDL1l*(CS33-PosPUDL1-3)^2/2,0)+IF(CS33&gt;PosPUDL2,PUDL2l*(CS33-PosPUDL2)^2/2,0)+IF(CS33&gt;(PosPUDL2+LePUDL2),-PUDL2l*(CS33-PosPUDL2-LePUDL2)^2/2,0)+IF(CS33&gt;PosPLa1,PLa1l*(CS33-PosPLa1),0)+IF(CS33&gt;PosPLb1,PLb1l*(CS33-PosPLb1),0)</f>
        <v>-4.4195999999999529</v>
      </c>
      <c r="CT35" s="67">
        <f>-RL1l*CT33+2*CT33^2/2+IF(CT33&gt;PosPUDL1,PUDL1l*(CT33-PosPUDL1)^2/2,0)+IF(CT33&gt;(PosPUDL1+3),-PUDL1l*(CT33-PosPUDL1-3)^2/2,0)+IF(CT33&gt;PosPUDL2,PUDL2l*(CT33-PosPUDL2)^2/2,0)+IF(CT33&gt;(PosPUDL2+LePUDL2),-PUDL2l*(CT33-PosPUDL2-LePUDL2)^2/2,0)+IF(CT33&gt;PosPLa1,PLa1l*(CT33-PosPLa1),0)+IF(CT33&gt;PosPLb1,PLb1l*(CT33-PosPLb1),0)</f>
        <v>-3.7149999999999501</v>
      </c>
      <c r="CU35" s="67">
        <f>-RL1l*CU33+2*CU33^2/2+IF(CU33&gt;PosPUDL1,PUDL1l*(CU33-PosPUDL1)^2/2,0)+IF(CU33&gt;(PosPUDL1+3),-PUDL1l*(CU33-PosPUDL1-3)^2/2,0)+IF(CU33&gt;PosPUDL2,PUDL2l*(CU33-PosPUDL2)^2/2,0)+IF(CU33&gt;(PosPUDL2+LePUDL2),-PUDL2l*(CU33-PosPUDL2-LePUDL2)^2/2,0)+IF(CU33&gt;PosPLa1,PLa1l*(CU33-PosPLa1),0)+IF(CU33&gt;PosPLb1,PLb1l*(CU33-PosPLb1),0)</f>
        <v>-2.9975999999999487</v>
      </c>
      <c r="CV35" s="67">
        <f>-RL1l*CV33+2*CV33^2/2+IF(CV33&gt;PosPUDL1,PUDL1l*(CV33-PosPUDL1)^2/2,0)+IF(CV33&gt;(PosPUDL1+3),-PUDL1l*(CV33-PosPUDL1-3)^2/2,0)+IF(CV33&gt;PosPUDL2,PUDL2l*(CV33-PosPUDL2)^2/2,0)+IF(CV33&gt;(PosPUDL2+LePUDL2),-PUDL2l*(CV33-PosPUDL2-LePUDL2)^2/2,0)+IF(CV33&gt;PosPLa1,PLa1l*(CV33-PosPLa1),0)+IF(CV33&gt;PosPLb1,PLb1l*(CV33-PosPLb1),0)</f>
        <v>-2.2673999999999435</v>
      </c>
      <c r="CW35" s="67">
        <f>-RL1l*CW33+2*CW33^2/2+IF(CW33&gt;PosPUDL1,PUDL1l*(CW33-PosPUDL1)^2/2,0)+IF(CW33&gt;(PosPUDL1+3),-PUDL1l*(CW33-PosPUDL1-3)^2/2,0)+IF(CW33&gt;PosPUDL2,PUDL2l*(CW33-PosPUDL2)^2/2,0)+IF(CW33&gt;(PosPUDL2+LePUDL2),-PUDL2l*(CW33-PosPUDL2-LePUDL2)^2/2,0)+IF(CW33&gt;PosPLa1,PLa1l*(CW33-PosPLa1),0)+IF(CW33&gt;PosPLb1,PLb1l*(CW33-PosPLb1),0)</f>
        <v>-1.5243999999999467</v>
      </c>
      <c r="CX35" s="67">
        <f>-RL1l*CX33+2*CX33^2/2+IF(CX33&gt;PosPUDL1,PUDL1l*(CX33-PosPUDL1)^2/2,0)+IF(CX33&gt;(PosPUDL1+3),-PUDL1l*(CX33-PosPUDL1-3)^2/2,0)+IF(CX33&gt;PosPUDL2,PUDL2l*(CX33-PosPUDL2)^2/2,0)+IF(CX33&gt;(PosPUDL2+LePUDL2),-PUDL2l*(CX33-PosPUDL2-LePUDL2)^2/2,0)+IF(CX33&gt;PosPLa1,PLa1l*(CX33-PosPLa1),0)+IF(CX33&gt;PosPLb1,PLb1l*(CX33-PosPLb1),0)</f>
        <v>-0.76859999999994599</v>
      </c>
      <c r="CY35" s="67">
        <f>-RL1l*CY33+2*CY33^2/2+IF(CY33&gt;PosPUDL1,PUDL1l*(CY33-PosPUDL1)^2/2,0)+IF(CY33&gt;(PosPUDL1+3),-PUDL1l*(CY33-PosPUDL1-3)^2/2,0)+IF(CY33&gt;PosPUDL2,PUDL2l*(CY33-PosPUDL2)^2/2,0)+IF(CY33&gt;(PosPUDL2+LePUDL2),-PUDL2l*(CY33-PosPUDL2-LePUDL2)^2/2,0)+IF(CY33&gt;PosPLa1,PLa1l*(CY33-PosPLa1),0)+IF(CY33&gt;PosPLb1,PLb1l*(CY33-PosPLb1),0)</f>
        <v>5.3290705182007514E-14</v>
      </c>
    </row>
    <row r="36" spans="2:105">
      <c r="B36" s="65" t="s">
        <v>40</v>
      </c>
      <c r="C36" s="66">
        <f>RL1d</f>
        <v>19.414999999999999</v>
      </c>
      <c r="D36" s="68">
        <f>RL1d-UDL1d*D33-IF(D33&gt;PosPUDL1,PUDL1d*(D33-PosPUDL1),0)-IF(D33&gt;(PosPUDL1+3),-PUDL1d*(D33-PosPUDL1-3),0)-IF(D33&gt;PosPUDL2,PUDL2d*(D33-PosPUDL2),0)-IF(D33&gt;(PosPUDL2+LePUDL2),-PUDL2d*(D33-PosPUDL2-LePUDL2),0)-IF(D33&gt;PosPLa1,PLa1d,0)-IF(D33&gt;PosPLb1,PLb1d,0)</f>
        <v>19.1342</v>
      </c>
      <c r="E36" s="68">
        <f>RL1d-UDL1d*E33-IF(E33&gt;PosPUDL1,PUDL1d*(E33-PosPUDL1),0)-IF(E33&gt;(PosPUDL1+3),-PUDL1d*(E33-PosPUDL1-3),0)-IF(E33&gt;PosPUDL2,PUDL2d*(E33-PosPUDL2),0)-IF(E33&gt;(PosPUDL2+LePUDL2),-PUDL2d*(E33-PosPUDL2-LePUDL2),0)-IF(E33&gt;PosPLa1,PLa1d,0)-IF(E33&gt;PosPLb1,PLb1d,0)</f>
        <v>18.853400000000001</v>
      </c>
      <c r="F36" s="68">
        <f>RL1d-UDL1d*F33-IF(F33&gt;PosPUDL1,PUDL1d*(F33-PosPUDL1),0)-IF(F33&gt;(PosPUDL1+3),-PUDL1d*(F33-PosPUDL1-3),0)-IF(F33&gt;PosPUDL2,PUDL2d*(F33-PosPUDL2),0)-IF(F33&gt;(PosPUDL2+LePUDL2),-PUDL2d*(F33-PosPUDL2-LePUDL2),0)-IF(F33&gt;PosPLa1,PLa1d,0)-IF(F33&gt;PosPLb1,PLb1d,0)</f>
        <v>18.572599999999998</v>
      </c>
      <c r="G36" s="68">
        <f>RL1d-UDL1d*G33-IF(G33&gt;PosPUDL1,PUDL1d*(G33-PosPUDL1),0)-IF(G33&gt;(PosPUDL1+3),-PUDL1d*(G33-PosPUDL1-3),0)-IF(G33&gt;PosPUDL2,PUDL2d*(G33-PosPUDL2),0)-IF(G33&gt;(PosPUDL2+LePUDL2),-PUDL2d*(G33-PosPUDL2-LePUDL2),0)-IF(G33&gt;PosPLa1,PLa1d,0)-IF(G33&gt;PosPLb1,PLb1d,0)</f>
        <v>18.291799999999999</v>
      </c>
      <c r="H36" s="68">
        <f>RL1d-UDL1d*H33-IF(H33&gt;PosPUDL1,PUDL1d*(H33-PosPUDL1),0)-IF(H33&gt;(PosPUDL1+3),-PUDL1d*(H33-PosPUDL1-3),0)-IF(H33&gt;PosPUDL2,PUDL2d*(H33-PosPUDL2),0)-IF(H33&gt;(PosPUDL2+LePUDL2),-PUDL2d*(H33-PosPUDL2-LePUDL2),0)-IF(H33&gt;PosPLa1,PLa1d,0)-IF(H33&gt;PosPLb1,PLb1d,0)</f>
        <v>18.010999999999999</v>
      </c>
      <c r="I36" s="68">
        <f>RL1d-UDL1d*I33-IF(I33&gt;PosPUDL1,PUDL1d*(I33-PosPUDL1),0)-IF(I33&gt;(PosPUDL1+3),-PUDL1d*(I33-PosPUDL1-3),0)-IF(I33&gt;PosPUDL2,PUDL2d*(I33-PosPUDL2),0)-IF(I33&gt;(PosPUDL2+LePUDL2),-PUDL2d*(I33-PosPUDL2-LePUDL2),0)-IF(I33&gt;PosPLa1,PLa1d,0)-IF(I33&gt;PosPLb1,PLb1d,0)</f>
        <v>17.7302</v>
      </c>
      <c r="J36" s="68">
        <f>RL1d-UDL1d*J33-IF(J33&gt;PosPUDL1,PUDL1d*(J33-PosPUDL1),0)-IF(J33&gt;(PosPUDL1+3),-PUDL1d*(J33-PosPUDL1-3),0)-IF(J33&gt;PosPUDL2,PUDL2d*(J33-PosPUDL2),0)-IF(J33&gt;(PosPUDL2+LePUDL2),-PUDL2d*(J33-PosPUDL2-LePUDL2),0)-IF(J33&gt;PosPLa1,PLa1d,0)-IF(J33&gt;PosPLb1,PLb1d,0)</f>
        <v>17.449400000000001</v>
      </c>
      <c r="K36" s="68">
        <f>RL1d-UDL1d*K33-IF(K33&gt;PosPUDL1,PUDL1d*(K33-PosPUDL1),0)-IF(K33&gt;(PosPUDL1+3),-PUDL1d*(K33-PosPUDL1-3),0)-IF(K33&gt;PosPUDL2,PUDL2d*(K33-PosPUDL2),0)-IF(K33&gt;(PosPUDL2+LePUDL2),-PUDL2d*(K33-PosPUDL2-LePUDL2),0)-IF(K33&gt;PosPLa1,PLa1d,0)-IF(K33&gt;PosPLb1,PLb1d,0)</f>
        <v>17.168599999999998</v>
      </c>
      <c r="L36" s="68">
        <f>RL1d-UDL1d*L33-IF(L33&gt;PosPUDL1,PUDL1d*(L33-PosPUDL1),0)-IF(L33&gt;(PosPUDL1+3),-PUDL1d*(L33-PosPUDL1-3),0)-IF(L33&gt;PosPUDL2,PUDL2d*(L33-PosPUDL2),0)-IF(L33&gt;(PosPUDL2+LePUDL2),-PUDL2d*(L33-PosPUDL2-LePUDL2),0)-IF(L33&gt;PosPLa1,PLa1d,0)-IF(L33&gt;PosPLb1,PLb1d,0)</f>
        <v>16.887799999999999</v>
      </c>
      <c r="M36" s="68">
        <f>RL1d-UDL1d*M33-IF(M33&gt;PosPUDL1,PUDL1d*(M33-PosPUDL1),0)-IF(M33&gt;(PosPUDL1+3),-PUDL1d*(M33-PosPUDL1-3),0)-IF(M33&gt;PosPUDL2,PUDL2d*(M33-PosPUDL2),0)-IF(M33&gt;(PosPUDL2+LePUDL2),-PUDL2d*(M33-PosPUDL2-LePUDL2),0)-IF(M33&gt;PosPLa1,PLa1d,0)-IF(M33&gt;PosPLb1,PLb1d,0)</f>
        <v>16.606999999999999</v>
      </c>
      <c r="N36" s="68">
        <f>RL1d-UDL1d*N33-IF(N33&gt;PosPUDL1,PUDL1d*(N33-PosPUDL1),0)-IF(N33&gt;(PosPUDL1+3),-PUDL1d*(N33-PosPUDL1-3),0)-IF(N33&gt;PosPUDL2,PUDL2d*(N33-PosPUDL2),0)-IF(N33&gt;(PosPUDL2+LePUDL2),-PUDL2d*(N33-PosPUDL2-LePUDL2),0)-IF(N33&gt;PosPLa1,PLa1d,0)-IF(N33&gt;PosPLb1,PLb1d,0)</f>
        <v>16.3262</v>
      </c>
      <c r="O36" s="68">
        <f>RL1d-UDL1d*O33-IF(O33&gt;PosPUDL1,PUDL1d*(O33-PosPUDL1),0)-IF(O33&gt;(PosPUDL1+3),-PUDL1d*(O33-PosPUDL1-3),0)-IF(O33&gt;PosPUDL2,PUDL2d*(O33-PosPUDL2),0)-IF(O33&gt;(PosPUDL2+LePUDL2),-PUDL2d*(O33-PosPUDL2-LePUDL2),0)-IF(O33&gt;PosPLa1,PLa1d,0)-IF(O33&gt;PosPLb1,PLb1d,0)</f>
        <v>16.045400000000001</v>
      </c>
      <c r="P36" s="68">
        <f>RL1d-UDL1d*P33-IF(P33&gt;PosPUDL1,PUDL1d*(P33-PosPUDL1),0)-IF(P33&gt;(PosPUDL1+3),-PUDL1d*(P33-PosPUDL1-3),0)-IF(P33&gt;PosPUDL2,PUDL2d*(P33-PosPUDL2),0)-IF(P33&gt;(PosPUDL2+LePUDL2),-PUDL2d*(P33-PosPUDL2-LePUDL2),0)-IF(P33&gt;PosPLa1,PLa1d,0)-IF(P33&gt;PosPLb1,PLb1d,0)</f>
        <v>15.6846</v>
      </c>
      <c r="Q36" s="68">
        <f>RL1d-UDL1d*Q33-IF(Q33&gt;PosPUDL1,PUDL1d*(Q33-PosPUDL1),0)-IF(Q33&gt;(PosPUDL1+3),-PUDL1d*(Q33-PosPUDL1-3),0)-IF(Q33&gt;PosPUDL2,PUDL2d*(Q33-PosPUDL2),0)-IF(Q33&gt;(PosPUDL2+LePUDL2),-PUDL2d*(Q33-PosPUDL2-LePUDL2),0)-IF(Q33&gt;PosPLa1,PLa1d,0)-IF(Q33&gt;PosPLb1,PLb1d,0)</f>
        <v>15.2438</v>
      </c>
      <c r="R36" s="68">
        <f>RL1d-UDL1d*R33-IF(R33&gt;PosPUDL1,PUDL1d*(R33-PosPUDL1),0)-IF(R33&gt;(PosPUDL1+3),-PUDL1d*(R33-PosPUDL1-3),0)-IF(R33&gt;PosPUDL2,PUDL2d*(R33-PosPUDL2),0)-IF(R33&gt;(PosPUDL2+LePUDL2),-PUDL2d*(R33-PosPUDL2-LePUDL2),0)-IF(R33&gt;PosPLa1,PLa1d,0)-IF(R33&gt;PosPLb1,PLb1d,0)</f>
        <v>14.802999999999999</v>
      </c>
      <c r="S36" s="68">
        <f>RL1d-UDL1d*S33-IF(S33&gt;PosPUDL1,PUDL1d*(S33-PosPUDL1),0)-IF(S33&gt;(PosPUDL1+3),-PUDL1d*(S33-PosPUDL1-3),0)-IF(S33&gt;PosPUDL2,PUDL2d*(S33-PosPUDL2),0)-IF(S33&gt;(PosPUDL2+LePUDL2),-PUDL2d*(S33-PosPUDL2-LePUDL2),0)-IF(S33&gt;PosPLa1,PLa1d,0)-IF(S33&gt;PosPLb1,PLb1d,0)</f>
        <v>14.3622</v>
      </c>
      <c r="T36" s="68">
        <f>RL1d-UDL1d*T33-IF(T33&gt;PosPUDL1,PUDL1d*(T33-PosPUDL1),0)-IF(T33&gt;(PosPUDL1+3),-PUDL1d*(T33-PosPUDL1-3),0)-IF(T33&gt;PosPUDL2,PUDL2d*(T33-PosPUDL2),0)-IF(T33&gt;(PosPUDL2+LePUDL2),-PUDL2d*(T33-PosPUDL2-LePUDL2),0)-IF(T33&gt;PosPLa1,PLa1d,0)-IF(T33&gt;PosPLb1,PLb1d,0)</f>
        <v>13.921399999999998</v>
      </c>
      <c r="U36" s="68">
        <f>RL1d-UDL1d*U33-IF(U33&gt;PosPUDL1,PUDL1d*(U33-PosPUDL1),0)-IF(U33&gt;(PosPUDL1+3),-PUDL1d*(U33-PosPUDL1-3),0)-IF(U33&gt;PosPUDL2,PUDL2d*(U33-PosPUDL2),0)-IF(U33&gt;(PosPUDL2+LePUDL2),-PUDL2d*(U33-PosPUDL2-LePUDL2),0)-IF(U33&gt;PosPLa1,PLa1d,0)-IF(U33&gt;PosPLb1,PLb1d,0)</f>
        <v>13.480599999999997</v>
      </c>
      <c r="V36" s="68">
        <f>RL1d-UDL1d*V33-IF(V33&gt;PosPUDL1,PUDL1d*(V33-PosPUDL1),0)-IF(V33&gt;(PosPUDL1+3),-PUDL1d*(V33-PosPUDL1-3),0)-IF(V33&gt;PosPUDL2,PUDL2d*(V33-PosPUDL2),0)-IF(V33&gt;(PosPUDL2+LePUDL2),-PUDL2d*(V33-PosPUDL2-LePUDL2),0)-IF(V33&gt;PosPLa1,PLa1d,0)-IF(V33&gt;PosPLb1,PLb1d,0)</f>
        <v>13.039799999999998</v>
      </c>
      <c r="W36" s="68">
        <f>RL1d-UDL1d*W33-IF(W33&gt;PosPUDL1,PUDL1d*(W33-PosPUDL1),0)-IF(W33&gt;(PosPUDL1+3),-PUDL1d*(W33-PosPUDL1-3),0)-IF(W33&gt;PosPUDL2,PUDL2d*(W33-PosPUDL2),0)-IF(W33&gt;(PosPUDL2+LePUDL2),-PUDL2d*(W33-PosPUDL2-LePUDL2),0)-IF(W33&gt;PosPLa1,PLa1d,0)-IF(W33&gt;PosPLb1,PLb1d,0)</f>
        <v>12.598999999999998</v>
      </c>
      <c r="X36" s="68">
        <f>RL1d-UDL1d*X33-IF(X33&gt;PosPUDL1,PUDL1d*(X33-PosPUDL1),0)-IF(X33&gt;(PosPUDL1+3),-PUDL1d*(X33-PosPUDL1-3),0)-IF(X33&gt;PosPUDL2,PUDL2d*(X33-PosPUDL2),0)-IF(X33&gt;(PosPUDL2+LePUDL2),-PUDL2d*(X33-PosPUDL2-LePUDL2),0)-IF(X33&gt;PosPLa1,PLa1d,0)-IF(X33&gt;PosPLb1,PLb1d,0)</f>
        <v>12.158199999999997</v>
      </c>
      <c r="Y36" s="68">
        <f>RL1d-UDL1d*Y33-IF(Y33&gt;PosPUDL1,PUDL1d*(Y33-PosPUDL1),0)-IF(Y33&gt;(PosPUDL1+3),-PUDL1d*(Y33-PosPUDL1-3),0)-IF(Y33&gt;PosPUDL2,PUDL2d*(Y33-PosPUDL2),0)-IF(Y33&gt;(PosPUDL2+LePUDL2),-PUDL2d*(Y33-PosPUDL2-LePUDL2),0)-IF(Y33&gt;PosPLa1,PLa1d,0)-IF(Y33&gt;PosPLb1,PLb1d,0)</f>
        <v>11.717399999999996</v>
      </c>
      <c r="Z36" s="68">
        <f>RL1d-UDL1d*Z33-IF(Z33&gt;PosPUDL1,PUDL1d*(Z33-PosPUDL1),0)-IF(Z33&gt;(PosPUDL1+3),-PUDL1d*(Z33-PosPUDL1-3),0)-IF(Z33&gt;PosPUDL2,PUDL2d*(Z33-PosPUDL2),0)-IF(Z33&gt;(PosPUDL2+LePUDL2),-PUDL2d*(Z33-PosPUDL2-LePUDL2),0)-IF(Z33&gt;PosPLa1,PLa1d,0)-IF(Z33&gt;PosPLb1,PLb1d,0)</f>
        <v>11.276599999999997</v>
      </c>
      <c r="AA36" s="68">
        <f>RL1d-UDL1d*AA33-IF(AA33&gt;PosPUDL1,PUDL1d*(AA33-PosPUDL1),0)-IF(AA33&gt;(PosPUDL1+3),-PUDL1d*(AA33-PosPUDL1-3),0)-IF(AA33&gt;PosPUDL2,PUDL2d*(AA33-PosPUDL2),0)-IF(AA33&gt;(PosPUDL2+LePUDL2),-PUDL2d*(AA33-PosPUDL2-LePUDL2),0)-IF(AA33&gt;PosPLa1,PLa1d,0)-IF(AA33&gt;PosPLb1,PLb1d,0)</f>
        <v>10.835799999999995</v>
      </c>
      <c r="AB36" s="68">
        <f>RL1d-UDL1d*AB33-IF(AB33&gt;PosPUDL1,PUDL1d*(AB33-PosPUDL1),0)-IF(AB33&gt;(PosPUDL1+3),-PUDL1d*(AB33-PosPUDL1-3),0)-IF(AB33&gt;PosPUDL2,PUDL2d*(AB33-PosPUDL2),0)-IF(AB33&gt;(PosPUDL2+LePUDL2),-PUDL2d*(AB33-PosPUDL2-LePUDL2),0)-IF(AB33&gt;PosPLa1,PLa1d,0)-IF(AB33&gt;PosPLb1,PLb1d,0)</f>
        <v>10.394999999999996</v>
      </c>
      <c r="AC36" s="68">
        <f>RL1d-UDL1d*AC33-IF(AC33&gt;PosPUDL1,PUDL1d*(AC33-PosPUDL1),0)-IF(AC33&gt;(PosPUDL1+3),-PUDL1d*(AC33-PosPUDL1-3),0)-IF(AC33&gt;PosPUDL2,PUDL2d*(AC33-PosPUDL2),0)-IF(AC33&gt;(PosPUDL2+LePUDL2),-PUDL2d*(AC33-PosPUDL2-LePUDL2),0)-IF(AC33&gt;PosPLa1,PLa1d,0)-IF(AC33&gt;PosPLb1,PLb1d,0)</f>
        <v>9.9541999999999966</v>
      </c>
      <c r="AD36" s="68">
        <f>RL1d-UDL1d*AD33-IF(AD33&gt;PosPUDL1,PUDL1d*(AD33-PosPUDL1),0)-IF(AD33&gt;(PosPUDL1+3),-PUDL1d*(AD33-PosPUDL1-3),0)-IF(AD33&gt;PosPUDL2,PUDL2d*(AD33-PosPUDL2),0)-IF(AD33&gt;(PosPUDL2+LePUDL2),-PUDL2d*(AD33-PosPUDL2-LePUDL2),0)-IF(AD33&gt;PosPLa1,PLa1d,0)-IF(AD33&gt;PosPLb1,PLb1d,0)</f>
        <v>9.5133999999999972</v>
      </c>
      <c r="AE36" s="68">
        <f>RL1d-UDL1d*AE33-IF(AE33&gt;PosPUDL1,PUDL1d*(AE33-PosPUDL1),0)-IF(AE33&gt;(PosPUDL1+3),-PUDL1d*(AE33-PosPUDL1-3),0)-IF(AE33&gt;PosPUDL2,PUDL2d*(AE33-PosPUDL2),0)-IF(AE33&gt;(PosPUDL2+LePUDL2),-PUDL2d*(AE33-PosPUDL2-LePUDL2),0)-IF(AE33&gt;PosPLa1,PLa1d,0)-IF(AE33&gt;PosPLb1,PLb1d,0)</f>
        <v>9.0725999999999978</v>
      </c>
      <c r="AF36" s="68">
        <f>RL1d-UDL1d*AF33-IF(AF33&gt;PosPUDL1,PUDL1d*(AF33-PosPUDL1),0)-IF(AF33&gt;(PosPUDL1+3),-PUDL1d*(AF33-PosPUDL1-3),0)-IF(AF33&gt;PosPUDL2,PUDL2d*(AF33-PosPUDL2),0)-IF(AF33&gt;(PosPUDL2+LePUDL2),-PUDL2d*(AF33-PosPUDL2-LePUDL2),0)-IF(AF33&gt;PosPLa1,PLa1d,0)-IF(AF33&gt;PosPLb1,PLb1d,0)</f>
        <v>8.6317999999999948</v>
      </c>
      <c r="AG36" s="68">
        <f>RL1d-UDL1d*AG33-IF(AG33&gt;PosPUDL1,PUDL1d*(AG33-PosPUDL1),0)-IF(AG33&gt;(PosPUDL1+3),-PUDL1d*(AG33-PosPUDL1-3),0)-IF(AG33&gt;PosPUDL2,PUDL2d*(AG33-PosPUDL2),0)-IF(AG33&gt;(PosPUDL2+LePUDL2),-PUDL2d*(AG33-PosPUDL2-LePUDL2),0)-IF(AG33&gt;PosPLa1,PLa1d,0)-IF(AG33&gt;PosPLb1,PLb1d,0)</f>
        <v>8.1909999999999954</v>
      </c>
      <c r="AH36" s="68">
        <f>RL1d-UDL1d*AH33-IF(AH33&gt;PosPUDL1,PUDL1d*(AH33-PosPUDL1),0)-IF(AH33&gt;(PosPUDL1+3),-PUDL1d*(AH33-PosPUDL1-3),0)-IF(AH33&gt;PosPUDL2,PUDL2d*(AH33-PosPUDL2),0)-IF(AH33&gt;(PosPUDL2+LePUDL2),-PUDL2d*(AH33-PosPUDL2-LePUDL2),0)-IF(AH33&gt;PosPLa1,PLa1d,0)-IF(AH33&gt;PosPLb1,PLb1d,0)</f>
        <v>7.7501999999999951</v>
      </c>
      <c r="AI36" s="68">
        <f>RL1d-UDL1d*AI33-IF(AI33&gt;PosPUDL1,PUDL1d*(AI33-PosPUDL1),0)-IF(AI33&gt;(PosPUDL1+3),-PUDL1d*(AI33-PosPUDL1-3),0)-IF(AI33&gt;PosPUDL2,PUDL2d*(AI33-PosPUDL2),0)-IF(AI33&gt;(PosPUDL2+LePUDL2),-PUDL2d*(AI33-PosPUDL2-LePUDL2),0)-IF(AI33&gt;PosPLa1,PLa1d,0)-IF(AI33&gt;PosPLb1,PLb1d,0)</f>
        <v>7.3093999999999939</v>
      </c>
      <c r="AJ36" s="68">
        <f>RL1d-UDL1d*AJ33-IF(AJ33&gt;PosPUDL1,PUDL1d*(AJ33-PosPUDL1),0)-IF(AJ33&gt;(PosPUDL1+3),-PUDL1d*(AJ33-PosPUDL1-3),0)-IF(AJ33&gt;PosPUDL2,PUDL2d*(AJ33-PosPUDL2),0)-IF(AJ33&gt;(PosPUDL2+LePUDL2),-PUDL2d*(AJ33-PosPUDL2-LePUDL2),0)-IF(AJ33&gt;PosPLa1,PLa1d,0)-IF(AJ33&gt;PosPLb1,PLb1d,0)</f>
        <v>6.8685999999999945</v>
      </c>
      <c r="AK36" s="68">
        <f>RL1d-UDL1d*AK33-IF(AK33&gt;PosPUDL1,PUDL1d*(AK33-PosPUDL1),0)-IF(AK33&gt;(PosPUDL1+3),-PUDL1d*(AK33-PosPUDL1-3),0)-IF(AK33&gt;PosPUDL2,PUDL2d*(AK33-PosPUDL2),0)-IF(AK33&gt;(PosPUDL2+LePUDL2),-PUDL2d*(AK33-PosPUDL2-LePUDL2),0)-IF(AK33&gt;PosPLa1,PLa1d,0)-IF(AK33&gt;PosPLb1,PLb1d,0)</f>
        <v>6.4277999999999933</v>
      </c>
      <c r="AL36" s="68">
        <f>RL1d-UDL1d*AL33-IF(AL33&gt;PosPUDL1,PUDL1d*(AL33-PosPUDL1),0)-IF(AL33&gt;(PosPUDL1+3),-PUDL1d*(AL33-PosPUDL1-3),0)-IF(AL33&gt;PosPUDL2,PUDL2d*(AL33-PosPUDL2),0)-IF(AL33&gt;(PosPUDL2+LePUDL2),-PUDL2d*(AL33-PosPUDL2-LePUDL2),0)-IF(AL33&gt;PosPLa1,PLa1d,0)-IF(AL33&gt;PosPLb1,PLb1d,0)</f>
        <v>5.9869999999999939</v>
      </c>
      <c r="AM36" s="68">
        <f>RL1d-UDL1d*AM33-IF(AM33&gt;PosPUDL1,PUDL1d*(AM33-PosPUDL1),0)-IF(AM33&gt;(PosPUDL1+3),-PUDL1d*(AM33-PosPUDL1-3),0)-IF(AM33&gt;PosPUDL2,PUDL2d*(AM33-PosPUDL2),0)-IF(AM33&gt;(PosPUDL2+LePUDL2),-PUDL2d*(AM33-PosPUDL2-LePUDL2),0)-IF(AM33&gt;PosPLa1,PLa1d,0)-IF(AM33&gt;PosPLb1,PLb1d,0)</f>
        <v>5.5461999999999927</v>
      </c>
      <c r="AN36" s="68">
        <f>RL1d-UDL1d*AN33-IF(AN33&gt;PosPUDL1,PUDL1d*(AN33-PosPUDL1),0)-IF(AN33&gt;(PosPUDL1+3),-PUDL1d*(AN33-PosPUDL1-3),0)-IF(AN33&gt;PosPUDL2,PUDL2d*(AN33-PosPUDL2),0)-IF(AN33&gt;(PosPUDL2+LePUDL2),-PUDL2d*(AN33-PosPUDL2-LePUDL2),0)-IF(AN33&gt;PosPLa1,PLa1d,0)-IF(AN33&gt;PosPLb1,PLb1d,0)</f>
        <v>5.1053999999999933</v>
      </c>
      <c r="AO36" s="68">
        <f>RL1d-UDL1d*AO33-IF(AO33&gt;PosPUDL1,PUDL1d*(AO33-PosPUDL1),0)-IF(AO33&gt;(PosPUDL1+3),-PUDL1d*(AO33-PosPUDL1-3),0)-IF(AO33&gt;PosPUDL2,PUDL2d*(AO33-PosPUDL2),0)-IF(AO33&gt;(PosPUDL2+LePUDL2),-PUDL2d*(AO33-PosPUDL2-LePUDL2),0)-IF(AO33&gt;PosPLa1,PLa1d,0)-IF(AO33&gt;PosPLb1,PLb1d,0)</f>
        <v>2.6645999999999921</v>
      </c>
      <c r="AP36" s="68">
        <f>RL1d-UDL1d*AP33-IF(AP33&gt;PosPUDL1,PUDL1d*(AP33-PosPUDL1),0)-IF(AP33&gt;(PosPUDL1+3),-PUDL1d*(AP33-PosPUDL1-3),0)-IF(AP33&gt;PosPUDL2,PUDL2d*(AP33-PosPUDL2),0)-IF(AP33&gt;(PosPUDL2+LePUDL2),-PUDL2d*(AP33-PosPUDL2-LePUDL2),0)-IF(AP33&gt;PosPLa1,PLa1d,0)-IF(AP33&gt;PosPLb1,PLb1d,0)</f>
        <v>2.2237999999999927</v>
      </c>
      <c r="AQ36" s="68">
        <f>RL1d-UDL1d*AQ33-IF(AQ33&gt;PosPUDL1,PUDL1d*(AQ33-PosPUDL1),0)-IF(AQ33&gt;(PosPUDL1+3),-PUDL1d*(AQ33-PosPUDL1-3),0)-IF(AQ33&gt;PosPUDL2,PUDL2d*(AQ33-PosPUDL2),0)-IF(AQ33&gt;(PosPUDL2+LePUDL2),-PUDL2d*(AQ33-PosPUDL2-LePUDL2),0)-IF(AQ33&gt;PosPLa1,PLa1d,0)-IF(AQ33&gt;PosPLb1,PLb1d,0)</f>
        <v>1.7829999999999915</v>
      </c>
      <c r="AR36" s="68">
        <f>RL1d-UDL1d*AR33-IF(AR33&gt;PosPUDL1,PUDL1d*(AR33-PosPUDL1),0)-IF(AR33&gt;(PosPUDL1+3),-PUDL1d*(AR33-PosPUDL1-3),0)-IF(AR33&gt;PosPUDL2,PUDL2d*(AR33-PosPUDL2),0)-IF(AR33&gt;(PosPUDL2+LePUDL2),-PUDL2d*(AR33-PosPUDL2-LePUDL2),0)-IF(AR33&gt;PosPLa1,PLa1d,0)-IF(AR33&gt;PosPLb1,PLb1d,0)</f>
        <v>1.3421999999999903</v>
      </c>
      <c r="AS36" s="68">
        <f>RL1d-UDL1d*AS33-IF(AS33&gt;PosPUDL1,PUDL1d*(AS33-PosPUDL1),0)-IF(AS33&gt;(PosPUDL1+3),-PUDL1d*(AS33-PosPUDL1-3),0)-IF(AS33&gt;PosPUDL2,PUDL2d*(AS33-PosPUDL2),0)-IF(AS33&gt;(PosPUDL2+LePUDL2),-PUDL2d*(AS33-PosPUDL2-LePUDL2),0)-IF(AS33&gt;PosPLa1,PLa1d,0)-IF(AS33&gt;PosPLb1,PLb1d,0)</f>
        <v>0.90139999999999088</v>
      </c>
      <c r="AT36" s="68">
        <f>RL1d-UDL1d*AT33-IF(AT33&gt;PosPUDL1,PUDL1d*(AT33-PosPUDL1),0)-IF(AT33&gt;(PosPUDL1+3),-PUDL1d*(AT33-PosPUDL1-3),0)-IF(AT33&gt;PosPUDL2,PUDL2d*(AT33-PosPUDL2),0)-IF(AT33&gt;(PosPUDL2+LePUDL2),-PUDL2d*(AT33-PosPUDL2-LePUDL2),0)-IF(AT33&gt;PosPLa1,PLa1d,0)-IF(AT33&gt;PosPLb1,PLb1d,0)</f>
        <v>0.46059999999998968</v>
      </c>
      <c r="AU36" s="68">
        <f>RL1d-UDL1d*AU33-IF(AU33&gt;PosPUDL1,PUDL1d*(AU33-PosPUDL1),0)-IF(AU33&gt;(PosPUDL1+3),-PUDL1d*(AU33-PosPUDL1-3),0)-IF(AU33&gt;PosPUDL2,PUDL2d*(AU33-PosPUDL2),0)-IF(AU33&gt;(PosPUDL2+LePUDL2),-PUDL2d*(AU33-PosPUDL2-LePUDL2),0)-IF(AU33&gt;PosPLa1,PLa1d,0)-IF(AU33&gt;PosPLb1,PLb1d,0)</f>
        <v>1.979999999999027E-2</v>
      </c>
      <c r="AV36" s="68">
        <f>RL1d-UDL1d*AV33-IF(AV33&gt;PosPUDL1,PUDL1d*(AV33-PosPUDL1),0)-IF(AV33&gt;(PosPUDL1+3),-PUDL1d*(AV33-PosPUDL1-3),0)-IF(AV33&gt;PosPUDL2,PUDL2d*(AV33-PosPUDL2),0)-IF(AV33&gt;(PosPUDL2+LePUDL2),-PUDL2d*(AV33-PosPUDL2-LePUDL2),0)-IF(AV33&gt;PosPLa1,PLa1d,0)-IF(AV33&gt;PosPLb1,PLb1d,0)</f>
        <v>-0.42100000000001092</v>
      </c>
      <c r="AW36" s="68">
        <f>RL1d-UDL1d*AW33-IF(AW33&gt;PosPUDL1,PUDL1d*(AW33-PosPUDL1),0)-IF(AW33&gt;(PosPUDL1+3),-PUDL1d*(AW33-PosPUDL1-3),0)-IF(AW33&gt;PosPUDL2,PUDL2d*(AW33-PosPUDL2),0)-IF(AW33&gt;(PosPUDL2+LePUDL2),-PUDL2d*(AW33-PosPUDL2-LePUDL2),0)-IF(AW33&gt;PosPLa1,PLa1d,0)-IF(AW33&gt;PosPLb1,PLb1d,0)</f>
        <v>-0.86180000000001034</v>
      </c>
      <c r="AX36" s="68">
        <f>RL1d-UDL1d*AX33-IF(AX33&gt;PosPUDL1,PUDL1d*(AX33-PosPUDL1),0)-IF(AX33&gt;(PosPUDL1+3),-PUDL1d*(AX33-PosPUDL1-3),0)-IF(AX33&gt;PosPUDL2,PUDL2d*(AX33-PosPUDL2),0)-IF(AX33&gt;(PosPUDL2+LePUDL2),-PUDL2d*(AX33-PosPUDL2-LePUDL2),0)-IF(AX33&gt;PosPLa1,PLa1d,0)-IF(AX33&gt;PosPLb1,PLb1d,0)</f>
        <v>-1.3026000000000115</v>
      </c>
      <c r="AY36" s="68">
        <f>RL1d-UDL1d*AY33-IF(AY33&gt;PosPUDL1,PUDL1d*(AY33-PosPUDL1),0)-IF(AY33&gt;(PosPUDL1+3),-PUDL1d*(AY33-PosPUDL1-3),0)-IF(AY33&gt;PosPUDL2,PUDL2d*(AY33-PosPUDL2),0)-IF(AY33&gt;(PosPUDL2+LePUDL2),-PUDL2d*(AY33-PosPUDL2-LePUDL2),0)-IF(AY33&gt;PosPLa1,PLa1d,0)-IF(AY33&gt;PosPLb1,PLb1d,0)</f>
        <v>-1.7434000000000109</v>
      </c>
      <c r="AZ36" s="68">
        <f>RL1d-UDL1d*AZ33-IF(AZ33&gt;PosPUDL1,PUDL1d*(AZ33-PosPUDL1),0)-IF(AZ33&gt;(PosPUDL1+3),-PUDL1d*(AZ33-PosPUDL1-3),0)-IF(AZ33&gt;PosPUDL2,PUDL2d*(AZ33-PosPUDL2),0)-IF(AZ33&gt;(PosPUDL2+LePUDL2),-PUDL2d*(AZ33-PosPUDL2-LePUDL2),0)-IF(AZ33&gt;PosPLa1,PLa1d,0)-IF(AZ33&gt;PosPLb1,PLb1d,0)</f>
        <v>-2.1842000000000121</v>
      </c>
      <c r="BA36" s="68">
        <f>RL1d-UDL1d*BA33-IF(BA33&gt;PosPUDL1,PUDL1d*(BA33-PosPUDL1),0)-IF(BA33&gt;(PosPUDL1+3),-PUDL1d*(BA33-PosPUDL1-3),0)-IF(BA33&gt;PosPUDL2,PUDL2d*(BA33-PosPUDL2),0)-IF(BA33&gt;(PosPUDL2+LePUDL2),-PUDL2d*(BA33-PosPUDL2-LePUDL2),0)-IF(BA33&gt;PosPLa1,PLa1d,0)-IF(BA33&gt;PosPLb1,PLb1d,0)</f>
        <v>-2.6250000000000107</v>
      </c>
      <c r="BB36" s="68">
        <f>RL1d-UDL1d*BB33-IF(BB33&gt;PosPUDL1,PUDL1d*(BB33-PosPUDL1),0)-IF(BB33&gt;(PosPUDL1+3),-PUDL1d*(BB33-PosPUDL1-3),0)-IF(BB33&gt;PosPUDL2,PUDL2d*(BB33-PosPUDL2),0)-IF(BB33&gt;(PosPUDL2+LePUDL2),-PUDL2d*(BB33-PosPUDL2-LePUDL2),0)-IF(BB33&gt;PosPLa1,PLa1d,0)-IF(BB33&gt;PosPLb1,PLb1d,0)</f>
        <v>-2.9058000000000064</v>
      </c>
      <c r="BC36" s="68">
        <f>RL1d-UDL1d*BC33-IF(BC33&gt;PosPUDL1,PUDL1d*(BC33-PosPUDL1),0)-IF(BC33&gt;(PosPUDL1+3),-PUDL1d*(BC33-PosPUDL1-3),0)-IF(BC33&gt;PosPUDL2,PUDL2d*(BC33-PosPUDL2),0)-IF(BC33&gt;(PosPUDL2+LePUDL2),-PUDL2d*(BC33-PosPUDL2-LePUDL2),0)-IF(BC33&gt;PosPLa1,PLa1d,0)-IF(BC33&gt;PosPLb1,PLb1d,0)</f>
        <v>-3.1866000000000074</v>
      </c>
      <c r="BD36" s="68">
        <f>RL1d-UDL1d*BD33-IF(BD33&gt;PosPUDL1,PUDL1d*(BD33-PosPUDL1),0)-IF(BD33&gt;(PosPUDL1+3),-PUDL1d*(BD33-PosPUDL1-3),0)-IF(BD33&gt;PosPUDL2,PUDL2d*(BD33-PosPUDL2),0)-IF(BD33&gt;(PosPUDL2+LePUDL2),-PUDL2d*(BD33-PosPUDL2-LePUDL2),0)-IF(BD33&gt;PosPLa1,PLa1d,0)-IF(BD33&gt;PosPLb1,PLb1d,0)</f>
        <v>-3.4674000000000067</v>
      </c>
      <c r="BE36" s="68">
        <f>RL1d-UDL1d*BE33-IF(BE33&gt;PosPUDL1,PUDL1d*(BE33-PosPUDL1),0)-IF(BE33&gt;(PosPUDL1+3),-PUDL1d*(BE33-PosPUDL1-3),0)-IF(BE33&gt;PosPUDL2,PUDL2d*(BE33-PosPUDL2),0)-IF(BE33&gt;(PosPUDL2+LePUDL2),-PUDL2d*(BE33-PosPUDL2-LePUDL2),0)-IF(BE33&gt;PosPLa1,PLa1d,0)-IF(BE33&gt;PosPLb1,PLb1d,0)</f>
        <v>-3.7482000000000077</v>
      </c>
      <c r="BF36" s="68">
        <f>RL1d-UDL1d*BF33-IF(BF33&gt;PosPUDL1,PUDL1d*(BF33-PosPUDL1),0)-IF(BF33&gt;(PosPUDL1+3),-PUDL1d*(BF33-PosPUDL1-3),0)-IF(BF33&gt;PosPUDL2,PUDL2d*(BF33-PosPUDL2),0)-IF(BF33&gt;(PosPUDL2+LePUDL2),-PUDL2d*(BF33-PosPUDL2-LePUDL2),0)-IF(BF33&gt;PosPLa1,PLa1d,0)-IF(BF33&gt;PosPLb1,PLb1d,0)</f>
        <v>-4.029000000000007</v>
      </c>
      <c r="BG36" s="68">
        <f>RL1d-UDL1d*BG33-IF(BG33&gt;PosPUDL1,PUDL1d*(BG33-PosPUDL1),0)-IF(BG33&gt;(PosPUDL1+3),-PUDL1d*(BG33-PosPUDL1-3),0)-IF(BG33&gt;PosPUDL2,PUDL2d*(BG33-PosPUDL2),0)-IF(BG33&gt;(PosPUDL2+LePUDL2),-PUDL2d*(BG33-PosPUDL2-LePUDL2),0)-IF(BG33&gt;PosPLa1,PLa1d,0)-IF(BG33&gt;PosPLb1,PLb1d,0)</f>
        <v>-4.3098000000000081</v>
      </c>
      <c r="BH36" s="68">
        <f>RL1d-UDL1d*BH33-IF(BH33&gt;PosPUDL1,PUDL1d*(BH33-PosPUDL1),0)-IF(BH33&gt;(PosPUDL1+3),-PUDL1d*(BH33-PosPUDL1-3),0)-IF(BH33&gt;PosPUDL2,PUDL2d*(BH33-PosPUDL2),0)-IF(BH33&gt;(PosPUDL2+LePUDL2),-PUDL2d*(BH33-PosPUDL2-LePUDL2),0)-IF(BH33&gt;PosPLa1,PLa1d,0)-IF(BH33&gt;PosPLb1,PLb1d,0)</f>
        <v>-4.5906000000000091</v>
      </c>
      <c r="BI36" s="68">
        <f>RL1d-UDL1d*BI33-IF(BI33&gt;PosPUDL1,PUDL1d*(BI33-PosPUDL1),0)-IF(BI33&gt;(PosPUDL1+3),-PUDL1d*(BI33-PosPUDL1-3),0)-IF(BI33&gt;PosPUDL2,PUDL2d*(BI33-PosPUDL2),0)-IF(BI33&gt;(PosPUDL2+LePUDL2),-PUDL2d*(BI33-PosPUDL2-LePUDL2),0)-IF(BI33&gt;PosPLa1,PLa1d,0)-IF(BI33&gt;PosPLb1,PLb1d,0)</f>
        <v>-4.8714000000000084</v>
      </c>
      <c r="BJ36" s="68">
        <f>RL1d-UDL1d*BJ33-IF(BJ33&gt;PosPUDL1,PUDL1d*(BJ33-PosPUDL1),0)-IF(BJ33&gt;(PosPUDL1+3),-PUDL1d*(BJ33-PosPUDL1-3),0)-IF(BJ33&gt;PosPUDL2,PUDL2d*(BJ33-PosPUDL2),0)-IF(BJ33&gt;(PosPUDL2+LePUDL2),-PUDL2d*(BJ33-PosPUDL2-LePUDL2),0)-IF(BJ33&gt;PosPLa1,PLa1d,0)-IF(BJ33&gt;PosPLb1,PLb1d,0)</f>
        <v>-5.1522000000000077</v>
      </c>
      <c r="BK36" s="68">
        <f>RL1d-UDL1d*BK33-IF(BK33&gt;PosPUDL1,PUDL1d*(BK33-PosPUDL1),0)-IF(BK33&gt;(PosPUDL1+3),-PUDL1d*(BK33-PosPUDL1-3),0)-IF(BK33&gt;PosPUDL2,PUDL2d*(BK33-PosPUDL2),0)-IF(BK33&gt;(PosPUDL2+LePUDL2),-PUDL2d*(BK33-PosPUDL2-LePUDL2),0)-IF(BK33&gt;PosPLa1,PLa1d,0)-IF(BK33&gt;PosPLb1,PLb1d,0)</f>
        <v>-5.4330000000000069</v>
      </c>
      <c r="BL36" s="68">
        <f>RL1d-UDL1d*BL33-IF(BL33&gt;PosPUDL1,PUDL1d*(BL33-PosPUDL1),0)-IF(BL33&gt;(PosPUDL1+3),-PUDL1d*(BL33-PosPUDL1-3),0)-IF(BL33&gt;PosPUDL2,PUDL2d*(BL33-PosPUDL2),0)-IF(BL33&gt;(PosPUDL2+LePUDL2),-PUDL2d*(BL33-PosPUDL2-LePUDL2),0)-IF(BL33&gt;PosPLa1,PLa1d,0)-IF(BL33&gt;PosPLb1,PLb1d,0)</f>
        <v>-5.7138000000000098</v>
      </c>
      <c r="BM36" s="68">
        <f>RL1d-UDL1d*BM33-IF(BM33&gt;PosPUDL1,PUDL1d*(BM33-PosPUDL1),0)-IF(BM33&gt;(PosPUDL1+3),-PUDL1d*(BM33-PosPUDL1-3),0)-IF(BM33&gt;PosPUDL2,PUDL2d*(BM33-PosPUDL2),0)-IF(BM33&gt;(PosPUDL2+LePUDL2),-PUDL2d*(BM33-PosPUDL2-LePUDL2),0)-IF(BM33&gt;PosPLa1,PLa1d,0)-IF(BM33&gt;PosPLb1,PLb1d,0)</f>
        <v>-5.994600000000009</v>
      </c>
      <c r="BN36" s="68">
        <f>RL1d-UDL1d*BN33-IF(BN33&gt;PosPUDL1,PUDL1d*(BN33-PosPUDL1),0)-IF(BN33&gt;(PosPUDL1+3),-PUDL1d*(BN33-PosPUDL1-3),0)-IF(BN33&gt;PosPUDL2,PUDL2d*(BN33-PosPUDL2),0)-IF(BN33&gt;(PosPUDL2+LePUDL2),-PUDL2d*(BN33-PosPUDL2-LePUDL2),0)-IF(BN33&gt;PosPLa1,PLa1d,0)-IF(BN33&gt;PosPLb1,PLb1d,0)</f>
        <v>-6.2754000000000083</v>
      </c>
      <c r="BO36" s="68">
        <f>RL1d-UDL1d*BO33-IF(BO33&gt;PosPUDL1,PUDL1d*(BO33-PosPUDL1),0)-IF(BO33&gt;(PosPUDL1+3),-PUDL1d*(BO33-PosPUDL1-3),0)-IF(BO33&gt;PosPUDL2,PUDL2d*(BO33-PosPUDL2),0)-IF(BO33&gt;(PosPUDL2+LePUDL2),-PUDL2d*(BO33-PosPUDL2-LePUDL2),0)-IF(BO33&gt;PosPLa1,PLa1d,0)-IF(BO33&gt;PosPLb1,PLb1d,0)</f>
        <v>-6.5562000000000111</v>
      </c>
      <c r="BP36" s="68">
        <f>RL1d-UDL1d*BP33-IF(BP33&gt;PosPUDL1,PUDL1d*(BP33-PosPUDL1),0)-IF(BP33&gt;(PosPUDL1+3),-PUDL1d*(BP33-PosPUDL1-3),0)-IF(BP33&gt;PosPUDL2,PUDL2d*(BP33-PosPUDL2),0)-IF(BP33&gt;(PosPUDL2+LePUDL2),-PUDL2d*(BP33-PosPUDL2-LePUDL2),0)-IF(BP33&gt;PosPLa1,PLa1d,0)-IF(BP33&gt;PosPLb1,PLb1d,0)</f>
        <v>-6.8370000000000104</v>
      </c>
      <c r="BQ36" s="68">
        <f>RL1d-UDL1d*BQ33-IF(BQ33&gt;PosPUDL1,PUDL1d*(BQ33-PosPUDL1),0)-IF(BQ33&gt;(PosPUDL1+3),-PUDL1d*(BQ33-PosPUDL1-3),0)-IF(BQ33&gt;PosPUDL2,PUDL2d*(BQ33-PosPUDL2),0)-IF(BQ33&gt;(PosPUDL2+LePUDL2),-PUDL2d*(BQ33-PosPUDL2-LePUDL2),0)-IF(BQ33&gt;PosPLa1,PLa1d,0)-IF(BQ33&gt;PosPLb1,PLb1d,0)</f>
        <v>-7.1178000000000097</v>
      </c>
      <c r="BR36" s="68">
        <f>RL1d-UDL1d*BR33-IF(BR33&gt;PosPUDL1,PUDL1d*(BR33-PosPUDL1),0)-IF(BR33&gt;(PosPUDL1+3),-PUDL1d*(BR33-PosPUDL1-3),0)-IF(BR33&gt;PosPUDL2,PUDL2d*(BR33-PosPUDL2),0)-IF(BR33&gt;(PosPUDL2+LePUDL2),-PUDL2d*(BR33-PosPUDL2-LePUDL2),0)-IF(BR33&gt;PosPLa1,PLa1d,0)-IF(BR33&gt;PosPLb1,PLb1d,0)</f>
        <v>-7.3986000000000089</v>
      </c>
      <c r="BS36" s="68">
        <f>RL1d-UDL1d*BS33-IF(BS33&gt;PosPUDL1,PUDL1d*(BS33-PosPUDL1),0)-IF(BS33&gt;(PosPUDL1+3),-PUDL1d*(BS33-PosPUDL1-3),0)-IF(BS33&gt;PosPUDL2,PUDL2d*(BS33-PosPUDL2),0)-IF(BS33&gt;(PosPUDL2+LePUDL2),-PUDL2d*(BS33-PosPUDL2-LePUDL2),0)-IF(BS33&gt;PosPLa1,PLa1d,0)-IF(BS33&gt;PosPLb1,PLb1d,0)</f>
        <v>-7.6794000000000118</v>
      </c>
      <c r="BT36" s="68">
        <f>RL1d-UDL1d*BT33-IF(BT33&gt;PosPUDL1,PUDL1d*(BT33-PosPUDL1),0)-IF(BT33&gt;(PosPUDL1+3),-PUDL1d*(BT33-PosPUDL1-3),0)-IF(BT33&gt;PosPUDL2,PUDL2d*(BT33-PosPUDL2),0)-IF(BT33&gt;(PosPUDL2+LePUDL2),-PUDL2d*(BT33-PosPUDL2-LePUDL2),0)-IF(BT33&gt;PosPLa1,PLa1d,0)-IF(BT33&gt;PosPLb1,PLb1d,0)</f>
        <v>-7.960200000000011</v>
      </c>
      <c r="BU36" s="68">
        <f>RL1d-UDL1d*BU33-IF(BU33&gt;PosPUDL1,PUDL1d*(BU33-PosPUDL1),0)-IF(BU33&gt;(PosPUDL1+3),-PUDL1d*(BU33-PosPUDL1-3),0)-IF(BU33&gt;PosPUDL2,PUDL2d*(BU33-PosPUDL2),0)-IF(BU33&gt;(PosPUDL2+LePUDL2),-PUDL2d*(BU33-PosPUDL2-LePUDL2),0)-IF(BU33&gt;PosPLa1,PLa1d,0)-IF(BU33&gt;PosPLb1,PLb1d,0)</f>
        <v>-8.2410000000000103</v>
      </c>
      <c r="BV36" s="68">
        <f>RL1d-UDL1d*BV33-IF(BV33&gt;PosPUDL1,PUDL1d*(BV33-PosPUDL1),0)-IF(BV33&gt;(PosPUDL1+3),-PUDL1d*(BV33-PosPUDL1-3),0)-IF(BV33&gt;PosPUDL2,PUDL2d*(BV33-PosPUDL2),0)-IF(BV33&gt;(PosPUDL2+LePUDL2),-PUDL2d*(BV33-PosPUDL2-LePUDL2),0)-IF(BV33&gt;PosPLa1,PLa1d,0)-IF(BV33&gt;PosPLb1,PLb1d,0)</f>
        <v>-8.5218000000000096</v>
      </c>
      <c r="BW36" s="68">
        <f>RL1d-UDL1d*BW33-IF(BW33&gt;PosPUDL1,PUDL1d*(BW33-PosPUDL1),0)-IF(BW33&gt;(PosPUDL1+3),-PUDL1d*(BW33-PosPUDL1-3),0)-IF(BW33&gt;PosPUDL2,PUDL2d*(BW33-PosPUDL2),0)-IF(BW33&gt;(PosPUDL2+LePUDL2),-PUDL2d*(BW33-PosPUDL2-LePUDL2),0)-IF(BW33&gt;PosPLa1,PLa1d,0)-IF(BW33&gt;PosPLb1,PLb1d,0)</f>
        <v>-8.8026000000000124</v>
      </c>
      <c r="BX36" s="68">
        <f>RL1d-UDL1d*BX33-IF(BX33&gt;PosPUDL1,PUDL1d*(BX33-PosPUDL1),0)-IF(BX33&gt;(PosPUDL1+3),-PUDL1d*(BX33-PosPUDL1-3),0)-IF(BX33&gt;PosPUDL2,PUDL2d*(BX33-PosPUDL2),0)-IF(BX33&gt;(PosPUDL2+LePUDL2),-PUDL2d*(BX33-PosPUDL2-LePUDL2),0)-IF(BX33&gt;PosPLa1,PLa1d,0)-IF(BX33&gt;PosPLb1,PLb1d,0)</f>
        <v>-9.0834000000000117</v>
      </c>
      <c r="BY36" s="68">
        <f>RL1d-UDL1d*BY33-IF(BY33&gt;PosPUDL1,PUDL1d*(BY33-PosPUDL1),0)-IF(BY33&gt;(PosPUDL1+3),-PUDL1d*(BY33-PosPUDL1-3),0)-IF(BY33&gt;PosPUDL2,PUDL2d*(BY33-PosPUDL2),0)-IF(BY33&gt;(PosPUDL2+LePUDL2),-PUDL2d*(BY33-PosPUDL2-LePUDL2),0)-IF(BY33&gt;PosPLa1,PLa1d,0)-IF(BY33&gt;PosPLb1,PLb1d,0)</f>
        <v>-9.364200000000011</v>
      </c>
      <c r="BZ36" s="68">
        <f>RL1d-UDL1d*BZ33-IF(BZ33&gt;PosPUDL1,PUDL1d*(BZ33-PosPUDL1),0)-IF(BZ33&gt;(PosPUDL1+3),-PUDL1d*(BZ33-PosPUDL1-3),0)-IF(BZ33&gt;PosPUDL2,PUDL2d*(BZ33-PosPUDL2),0)-IF(BZ33&gt;(PosPUDL2+LePUDL2),-PUDL2d*(BZ33-PosPUDL2-LePUDL2),0)-IF(BZ33&gt;PosPLa1,PLa1d,0)-IF(BZ33&gt;PosPLb1,PLb1d,0)</f>
        <v>-9.6450000000000138</v>
      </c>
      <c r="CA36" s="68">
        <f>RL1d-UDL1d*CA33-IF(CA33&gt;PosPUDL1,PUDL1d*(CA33-PosPUDL1),0)-IF(CA33&gt;(PosPUDL1+3),-PUDL1d*(CA33-PosPUDL1-3),0)-IF(CA33&gt;PosPUDL2,PUDL2d*(CA33-PosPUDL2),0)-IF(CA33&gt;(PosPUDL2+LePUDL2),-PUDL2d*(CA33-PosPUDL2-LePUDL2),0)-IF(CA33&gt;PosPLa1,PLa1d,0)-IF(CA33&gt;PosPLb1,PLb1d,0)</f>
        <v>-9.9258000000000131</v>
      </c>
      <c r="CB36" s="68">
        <f>RL1d-UDL1d*CB33-IF(CB33&gt;PosPUDL1,PUDL1d*(CB33-PosPUDL1),0)-IF(CB33&gt;(PosPUDL1+3),-PUDL1d*(CB33-PosPUDL1-3),0)-IF(CB33&gt;PosPUDL2,PUDL2d*(CB33-PosPUDL2),0)-IF(CB33&gt;(PosPUDL2+LePUDL2),-PUDL2d*(CB33-PosPUDL2-LePUDL2),0)-IF(CB33&gt;PosPLa1,PLa1d,0)-IF(CB33&gt;PosPLb1,PLb1d,0)</f>
        <v>-10.206600000000012</v>
      </c>
      <c r="CC36" s="68">
        <f>RL1d-UDL1d*CC33-IF(CC33&gt;PosPUDL1,PUDL1d*(CC33-PosPUDL1),0)-IF(CC33&gt;(PosPUDL1+3),-PUDL1d*(CC33-PosPUDL1-3),0)-IF(CC33&gt;PosPUDL2,PUDL2d*(CC33-PosPUDL2),0)-IF(CC33&gt;(PosPUDL2+LePUDL2),-PUDL2d*(CC33-PosPUDL2-LePUDL2),0)-IF(CC33&gt;PosPLa1,PLa1d,0)-IF(CC33&gt;PosPLb1,PLb1d,0)</f>
        <v>-10.487400000000012</v>
      </c>
      <c r="CD36" s="68">
        <f>RL1d-UDL1d*CD33-IF(CD33&gt;PosPUDL1,PUDL1d*(CD33-PosPUDL1),0)-IF(CD33&gt;(PosPUDL1+3),-PUDL1d*(CD33-PosPUDL1-3),0)-IF(CD33&gt;PosPUDL2,PUDL2d*(CD33-PosPUDL2),0)-IF(CD33&gt;(PosPUDL2+LePUDL2),-PUDL2d*(CD33-PosPUDL2-LePUDL2),0)-IF(CD33&gt;PosPLa1,PLa1d,0)-IF(CD33&gt;PosPLb1,PLb1d,0)</f>
        <v>-10.768200000000014</v>
      </c>
      <c r="CE36" s="68">
        <f>RL1d-UDL1d*CE33-IF(CE33&gt;PosPUDL1,PUDL1d*(CE33-PosPUDL1),0)-IF(CE33&gt;(PosPUDL1+3),-PUDL1d*(CE33-PosPUDL1-3),0)-IF(CE33&gt;PosPUDL2,PUDL2d*(CE33-PosPUDL2),0)-IF(CE33&gt;(PosPUDL2+LePUDL2),-PUDL2d*(CE33-PosPUDL2-LePUDL2),0)-IF(CE33&gt;PosPLa1,PLa1d,0)-IF(CE33&gt;PosPLb1,PLb1d,0)</f>
        <v>-11.049000000000014</v>
      </c>
      <c r="CF36" s="68">
        <f>RL1d-UDL1d*CF33-IF(CF33&gt;PosPUDL1,PUDL1d*(CF33-PosPUDL1),0)-IF(CF33&gt;(PosPUDL1+3),-PUDL1d*(CF33-PosPUDL1-3),0)-IF(CF33&gt;PosPUDL2,PUDL2d*(CF33-PosPUDL2),0)-IF(CF33&gt;(PosPUDL2+LePUDL2),-PUDL2d*(CF33-PosPUDL2-LePUDL2),0)-IF(CF33&gt;PosPLa1,PLa1d,0)-IF(CF33&gt;PosPLb1,PLb1d,0)</f>
        <v>-11.329800000000013</v>
      </c>
      <c r="CG36" s="68">
        <f>RL1d-UDL1d*CG33-IF(CG33&gt;PosPUDL1,PUDL1d*(CG33-PosPUDL1),0)-IF(CG33&gt;(PosPUDL1+3),-PUDL1d*(CG33-PosPUDL1-3),0)-IF(CG33&gt;PosPUDL2,PUDL2d*(CG33-PosPUDL2),0)-IF(CG33&gt;(PosPUDL2+LePUDL2),-PUDL2d*(CG33-PosPUDL2-LePUDL2),0)-IF(CG33&gt;PosPLa1,PLa1d,0)-IF(CG33&gt;PosPLb1,PLb1d,0)</f>
        <v>-11.610600000000012</v>
      </c>
      <c r="CH36" s="68">
        <f>RL1d-UDL1d*CH33-IF(CH33&gt;PosPUDL1,PUDL1d*(CH33-PosPUDL1),0)-IF(CH33&gt;(PosPUDL1+3),-PUDL1d*(CH33-PosPUDL1-3),0)-IF(CH33&gt;PosPUDL2,PUDL2d*(CH33-PosPUDL2),0)-IF(CH33&gt;(PosPUDL2+LePUDL2),-PUDL2d*(CH33-PosPUDL2-LePUDL2),0)-IF(CH33&gt;PosPLa1,PLa1d,0)-IF(CH33&gt;PosPLb1,PLb1d,0)</f>
        <v>-11.891400000000015</v>
      </c>
      <c r="CI36" s="68">
        <f>RL1d-UDL1d*CI33-IF(CI33&gt;PosPUDL1,PUDL1d*(CI33-PosPUDL1),0)-IF(CI33&gt;(PosPUDL1+3),-PUDL1d*(CI33-PosPUDL1-3),0)-IF(CI33&gt;PosPUDL2,PUDL2d*(CI33-PosPUDL2),0)-IF(CI33&gt;(PosPUDL2+LePUDL2),-PUDL2d*(CI33-PosPUDL2-LePUDL2),0)-IF(CI33&gt;PosPLa1,PLa1d,0)-IF(CI33&gt;PosPLb1,PLb1d,0)</f>
        <v>-12.172200000000014</v>
      </c>
      <c r="CJ36" s="68">
        <f>RL1d-UDL1d*CJ33-IF(CJ33&gt;PosPUDL1,PUDL1d*(CJ33-PosPUDL1),0)-IF(CJ33&gt;(PosPUDL1+3),-PUDL1d*(CJ33-PosPUDL1-3),0)-IF(CJ33&gt;PosPUDL2,PUDL2d*(CJ33-PosPUDL2),0)-IF(CJ33&gt;(PosPUDL2+LePUDL2),-PUDL2d*(CJ33-PosPUDL2-LePUDL2),0)-IF(CJ33&gt;PosPLa1,PLa1d,0)-IF(CJ33&gt;PosPLb1,PLb1d,0)</f>
        <v>-12.453000000000014</v>
      </c>
      <c r="CK36" s="68">
        <f>RL1d-UDL1d*CK33-IF(CK33&gt;PosPUDL1,PUDL1d*(CK33-PosPUDL1),0)-IF(CK33&gt;(PosPUDL1+3),-PUDL1d*(CK33-PosPUDL1-3),0)-IF(CK33&gt;PosPUDL2,PUDL2d*(CK33-PosPUDL2),0)-IF(CK33&gt;(PosPUDL2+LePUDL2),-PUDL2d*(CK33-PosPUDL2-LePUDL2),0)-IF(CK33&gt;PosPLa1,PLa1d,0)-IF(CK33&gt;PosPLb1,PLb1d,0)</f>
        <v>-12.733800000000013</v>
      </c>
      <c r="CL36" s="68">
        <f>RL1d-UDL1d*CL33-IF(CL33&gt;PosPUDL1,PUDL1d*(CL33-PosPUDL1),0)-IF(CL33&gt;(PosPUDL1+3),-PUDL1d*(CL33-PosPUDL1-3),0)-IF(CL33&gt;PosPUDL2,PUDL2d*(CL33-PosPUDL2),0)-IF(CL33&gt;(PosPUDL2+LePUDL2),-PUDL2d*(CL33-PosPUDL2-LePUDL2),0)-IF(CL33&gt;PosPLa1,PLa1d,0)-IF(CL33&gt;PosPLb1,PLb1d,0)</f>
        <v>-13.014600000000016</v>
      </c>
      <c r="CM36" s="68">
        <f>RL1d-UDL1d*CM33-IF(CM33&gt;PosPUDL1,PUDL1d*(CM33-PosPUDL1),0)-IF(CM33&gt;(PosPUDL1+3),-PUDL1d*(CM33-PosPUDL1-3),0)-IF(CM33&gt;PosPUDL2,PUDL2d*(CM33-PosPUDL2),0)-IF(CM33&gt;(PosPUDL2+LePUDL2),-PUDL2d*(CM33-PosPUDL2-LePUDL2),0)-IF(CM33&gt;PosPLa1,PLa1d,0)-IF(CM33&gt;PosPLb1,PLb1d,0)</f>
        <v>-13.295400000000015</v>
      </c>
      <c r="CN36" s="68">
        <f>RL1d-UDL1d*CN33-IF(CN33&gt;PosPUDL1,PUDL1d*(CN33-PosPUDL1),0)-IF(CN33&gt;(PosPUDL1+3),-PUDL1d*(CN33-PosPUDL1-3),0)-IF(CN33&gt;PosPUDL2,PUDL2d*(CN33-PosPUDL2),0)-IF(CN33&gt;(PosPUDL2+LePUDL2),-PUDL2d*(CN33-PosPUDL2-LePUDL2),0)-IF(CN33&gt;PosPLa1,PLa1d,0)-IF(CN33&gt;PosPLb1,PLb1d,0)</f>
        <v>-13.576200000000014</v>
      </c>
      <c r="CO36" s="68">
        <f>RL1d-UDL1d*CO33-IF(CO33&gt;PosPUDL1,PUDL1d*(CO33-PosPUDL1),0)-IF(CO33&gt;(PosPUDL1+3),-PUDL1d*(CO33-PosPUDL1-3),0)-IF(CO33&gt;PosPUDL2,PUDL2d*(CO33-PosPUDL2),0)-IF(CO33&gt;(PosPUDL2+LePUDL2),-PUDL2d*(CO33-PosPUDL2-LePUDL2),0)-IF(CO33&gt;PosPLa1,PLa1d,0)-IF(CO33&gt;PosPLb1,PLb1d,0)</f>
        <v>-13.857000000000017</v>
      </c>
      <c r="CP36" s="68">
        <f>RL1d-UDL1d*CP33-IF(CP33&gt;PosPUDL1,PUDL1d*(CP33-PosPUDL1),0)-IF(CP33&gt;(PosPUDL1+3),-PUDL1d*(CP33-PosPUDL1-3),0)-IF(CP33&gt;PosPUDL2,PUDL2d*(CP33-PosPUDL2),0)-IF(CP33&gt;(PosPUDL2+LePUDL2),-PUDL2d*(CP33-PosPUDL2-LePUDL2),0)-IF(CP33&gt;PosPLa1,PLa1d,0)-IF(CP33&gt;PosPLb1,PLb1d,0)</f>
        <v>-14.137800000000016</v>
      </c>
      <c r="CQ36" s="68">
        <f>RL1d-UDL1d*CQ33-IF(CQ33&gt;PosPUDL1,PUDL1d*(CQ33-PosPUDL1),0)-IF(CQ33&gt;(PosPUDL1+3),-PUDL1d*(CQ33-PosPUDL1-3),0)-IF(CQ33&gt;PosPUDL2,PUDL2d*(CQ33-PosPUDL2),0)-IF(CQ33&gt;(PosPUDL2+LePUDL2),-PUDL2d*(CQ33-PosPUDL2-LePUDL2),0)-IF(CQ33&gt;PosPLa1,PLa1d,0)-IF(CQ33&gt;PosPLb1,PLb1d,0)</f>
        <v>-14.418600000000016</v>
      </c>
      <c r="CR36" s="68">
        <f>RL1d-UDL1d*CR33-IF(CR33&gt;PosPUDL1,PUDL1d*(CR33-PosPUDL1),0)-IF(CR33&gt;(PosPUDL1+3),-PUDL1d*(CR33-PosPUDL1-3),0)-IF(CR33&gt;PosPUDL2,PUDL2d*(CR33-PosPUDL2),0)-IF(CR33&gt;(PosPUDL2+LePUDL2),-PUDL2d*(CR33-PosPUDL2-LePUDL2),0)-IF(CR33&gt;PosPLa1,PLa1d,0)-IF(CR33&gt;PosPLb1,PLb1d,0)</f>
        <v>-14.699400000000015</v>
      </c>
      <c r="CS36" s="68">
        <f>RL1d-UDL1d*CS33-IF(CS33&gt;PosPUDL1,PUDL1d*(CS33-PosPUDL1),0)-IF(CS33&gt;(PosPUDL1+3),-PUDL1d*(CS33-PosPUDL1-3),0)-IF(CS33&gt;PosPUDL2,PUDL2d*(CS33-PosPUDL2),0)-IF(CS33&gt;(PosPUDL2+LePUDL2),-PUDL2d*(CS33-PosPUDL2-LePUDL2),0)-IF(CS33&gt;PosPLa1,PLa1d,0)-IF(CS33&gt;PosPLb1,PLb1d,0)</f>
        <v>-14.980200000000018</v>
      </c>
      <c r="CT36" s="68">
        <f>RL1d-UDL1d*CT33-IF(CT33&gt;PosPUDL1,PUDL1d*(CT33-PosPUDL1),0)-IF(CT33&gt;(PosPUDL1+3),-PUDL1d*(CT33-PosPUDL1-3),0)-IF(CT33&gt;PosPUDL2,PUDL2d*(CT33-PosPUDL2),0)-IF(CT33&gt;(PosPUDL2+LePUDL2),-PUDL2d*(CT33-PosPUDL2-LePUDL2),0)-IF(CT33&gt;PosPLa1,PLa1d,0)-IF(CT33&gt;PosPLb1,PLb1d,0)</f>
        <v>-15.261000000000017</v>
      </c>
      <c r="CU36" s="68">
        <f>RL1d-UDL1d*CU33-IF(CU33&gt;PosPUDL1,PUDL1d*(CU33-PosPUDL1),0)-IF(CU33&gt;(PosPUDL1+3),-PUDL1d*(CU33-PosPUDL1-3),0)-IF(CU33&gt;PosPUDL2,PUDL2d*(CU33-PosPUDL2),0)-IF(CU33&gt;(PosPUDL2+LePUDL2),-PUDL2d*(CU33-PosPUDL2-LePUDL2),0)-IF(CU33&gt;PosPLa1,PLa1d,0)-IF(CU33&gt;PosPLb1,PLb1d,0)</f>
        <v>-15.541800000000016</v>
      </c>
      <c r="CV36" s="68">
        <f>RL1d-UDL1d*CV33-IF(CV33&gt;PosPUDL1,PUDL1d*(CV33-PosPUDL1),0)-IF(CV33&gt;(PosPUDL1+3),-PUDL1d*(CV33-PosPUDL1-3),0)-IF(CV33&gt;PosPUDL2,PUDL2d*(CV33-PosPUDL2),0)-IF(CV33&gt;(PosPUDL2+LePUDL2),-PUDL2d*(CV33-PosPUDL2-LePUDL2),0)-IF(CV33&gt;PosPLa1,PLa1d,0)-IF(CV33&gt;PosPLb1,PLb1d,0)</f>
        <v>-15.822600000000016</v>
      </c>
      <c r="CW36" s="68">
        <f>RL1d-UDL1d*CW33-IF(CW33&gt;PosPUDL1,PUDL1d*(CW33-PosPUDL1),0)-IF(CW33&gt;(PosPUDL1+3),-PUDL1d*(CW33-PosPUDL1-3),0)-IF(CW33&gt;PosPUDL2,PUDL2d*(CW33-PosPUDL2),0)-IF(CW33&gt;(PosPUDL2+LePUDL2),-PUDL2d*(CW33-PosPUDL2-LePUDL2),0)-IF(CW33&gt;PosPLa1,PLa1d,0)-IF(CW33&gt;PosPLb1,PLb1d,0)</f>
        <v>-16.103400000000018</v>
      </c>
      <c r="CX36" s="68">
        <f>RL1d-UDL1d*CX33-IF(CX33&gt;PosPUDL1,PUDL1d*(CX33-PosPUDL1),0)-IF(CX33&gt;(PosPUDL1+3),-PUDL1d*(CX33-PosPUDL1-3),0)-IF(CX33&gt;PosPUDL2,PUDL2d*(CX33-PosPUDL2),0)-IF(CX33&gt;(PosPUDL2+LePUDL2),-PUDL2d*(CX33-PosPUDL2-LePUDL2),0)-IF(CX33&gt;PosPLa1,PLa1d,0)-IF(CX33&gt;PosPLb1,PLb1d,0)</f>
        <v>-16.384200000000018</v>
      </c>
      <c r="CY36" s="68">
        <f>RL1d-UDL1d*CY33-IF(CY33&gt;PosPUDL1,PUDL1d*(CY33-PosPUDL1),0)-IF(CY33&gt;(PosPUDL1+3),-PUDL1d*(CY33-PosPUDL1-3),0)-IF(CY33&gt;PosPUDL2,PUDL2d*(CY33-PosPUDL2),0)-IF(CY33&gt;(PosPUDL2+LePUDL2),-PUDL2d*(CY33-PosPUDL2-LePUDL2),0)-IF(CY33&gt;PosPLa1,PLa1d,0)-IF(CY33&gt;PosPLb1,PLb1d,0)</f>
        <v>-16.665000000000017</v>
      </c>
    </row>
    <row r="37" spans="2:105">
      <c r="B37" s="65" t="s">
        <v>41</v>
      </c>
      <c r="C37" s="66">
        <f>RL1l</f>
        <v>11.3125</v>
      </c>
      <c r="D37" s="68">
        <f>RL1l-2*D33-IF(D33&gt;PosPUDL1,PUDL1l*(D33-PosPUDL1),0)-IF(D33&gt;(PosPUDL1+3),-PUDL1l*(D33-PosPUDL1-3),0)-IF(D33&gt;PosPUDL2,PUDL2l*(D33-PosPUDL2),0)-IF(D33&gt;(PosPUDL2+LePUDL2),-PUDL2l*(D33-PosPUDL2-LePUDL2),0)-IF(D33&gt;PosPLa1,PLa1l,0)-IF(D33&gt;PosPLb1,PLb1l,0)</f>
        <v>11.1525</v>
      </c>
      <c r="E37" s="68">
        <f>RL1l-2*E33-IF(E33&gt;PosPUDL1,PUDL1l*(E33-PosPUDL1),0)-IF(E33&gt;(PosPUDL1+3),-PUDL1l*(E33-PosPUDL1-3),0)-IF(E33&gt;PosPUDL2,PUDL2l*(E33-PosPUDL2),0)-IF(E33&gt;(PosPUDL2+LePUDL2),-PUDL2l*(E33-PosPUDL2-LePUDL2),0)-IF(E33&gt;PosPLa1,PLa1l,0)-IF(E33&gt;PosPLb1,PLb1l,0)</f>
        <v>10.9925</v>
      </c>
      <c r="F37" s="68">
        <f>RL1l-2*F33-IF(F33&gt;PosPUDL1,PUDL1l*(F33-PosPUDL1),0)-IF(F33&gt;(PosPUDL1+3),-PUDL1l*(F33-PosPUDL1-3),0)-IF(F33&gt;PosPUDL2,PUDL2l*(F33-PosPUDL2),0)-IF(F33&gt;(PosPUDL2+LePUDL2),-PUDL2l*(F33-PosPUDL2-LePUDL2),0)-IF(F33&gt;PosPLa1,PLa1l,0)-IF(F33&gt;PosPLb1,PLb1l,0)</f>
        <v>10.8325</v>
      </c>
      <c r="G37" s="68">
        <f>RL1l-2*G33-IF(G33&gt;PosPUDL1,PUDL1l*(G33-PosPUDL1),0)-IF(G33&gt;(PosPUDL1+3),-PUDL1l*(G33-PosPUDL1-3),0)-IF(G33&gt;PosPUDL2,PUDL2l*(G33-PosPUDL2),0)-IF(G33&gt;(PosPUDL2+LePUDL2),-PUDL2l*(G33-PosPUDL2-LePUDL2),0)-IF(G33&gt;PosPLa1,PLa1l,0)-IF(G33&gt;PosPLb1,PLb1l,0)</f>
        <v>10.672499999999999</v>
      </c>
      <c r="H37" s="68">
        <f>RL1l-2*H33-IF(H33&gt;PosPUDL1,PUDL1l*(H33-PosPUDL1),0)-IF(H33&gt;(PosPUDL1+3),-PUDL1l*(H33-PosPUDL1-3),0)-IF(H33&gt;PosPUDL2,PUDL2l*(H33-PosPUDL2),0)-IF(H33&gt;(PosPUDL2+LePUDL2),-PUDL2l*(H33-PosPUDL2-LePUDL2),0)-IF(H33&gt;PosPLa1,PLa1l,0)-IF(H33&gt;PosPLb1,PLb1l,0)</f>
        <v>10.512499999999999</v>
      </c>
      <c r="I37" s="68">
        <f>RL1l-2*I33-IF(I33&gt;PosPUDL1,PUDL1l*(I33-PosPUDL1),0)-IF(I33&gt;(PosPUDL1+3),-PUDL1l*(I33-PosPUDL1-3),0)-IF(I33&gt;PosPUDL2,PUDL2l*(I33-PosPUDL2),0)-IF(I33&gt;(PosPUDL2+LePUDL2),-PUDL2l*(I33-PosPUDL2-LePUDL2),0)-IF(I33&gt;PosPLa1,PLa1l,0)-IF(I33&gt;PosPLb1,PLb1l,0)</f>
        <v>10.352499999999999</v>
      </c>
      <c r="J37" s="68">
        <f>RL1l-2*J33-IF(J33&gt;PosPUDL1,PUDL1l*(J33-PosPUDL1),0)-IF(J33&gt;(PosPUDL1+3),-PUDL1l*(J33-PosPUDL1-3),0)-IF(J33&gt;PosPUDL2,PUDL2l*(J33-PosPUDL2),0)-IF(J33&gt;(PosPUDL2+LePUDL2),-PUDL2l*(J33-PosPUDL2-LePUDL2),0)-IF(J33&gt;PosPLa1,PLa1l,0)-IF(J33&gt;PosPLb1,PLb1l,0)</f>
        <v>10.192499999999999</v>
      </c>
      <c r="K37" s="68">
        <f>RL1l-2*K33-IF(K33&gt;PosPUDL1,PUDL1l*(K33-PosPUDL1),0)-IF(K33&gt;(PosPUDL1+3),-PUDL1l*(K33-PosPUDL1-3),0)-IF(K33&gt;PosPUDL2,PUDL2l*(K33-PosPUDL2),0)-IF(K33&gt;(PosPUDL2+LePUDL2),-PUDL2l*(K33-PosPUDL2-LePUDL2),0)-IF(K33&gt;PosPLa1,PLa1l,0)-IF(K33&gt;PosPLb1,PLb1l,0)</f>
        <v>10.032500000000001</v>
      </c>
      <c r="L37" s="68">
        <f>RL1l-2*L33-IF(L33&gt;PosPUDL1,PUDL1l*(L33-PosPUDL1),0)-IF(L33&gt;(PosPUDL1+3),-PUDL1l*(L33-PosPUDL1-3),0)-IF(L33&gt;PosPUDL2,PUDL2l*(L33-PosPUDL2),0)-IF(L33&gt;(PosPUDL2+LePUDL2),-PUDL2l*(L33-PosPUDL2-LePUDL2),0)-IF(L33&gt;PosPLa1,PLa1l,0)-IF(L33&gt;PosPLb1,PLb1l,0)</f>
        <v>9.8725000000000005</v>
      </c>
      <c r="M37" s="68">
        <f>RL1l-2*M33-IF(M33&gt;PosPUDL1,PUDL1l*(M33-PosPUDL1),0)-IF(M33&gt;(PosPUDL1+3),-PUDL1l*(M33-PosPUDL1-3),0)-IF(M33&gt;PosPUDL2,PUDL2l*(M33-PosPUDL2),0)-IF(M33&gt;(PosPUDL2+LePUDL2),-PUDL2l*(M33-PosPUDL2-LePUDL2),0)-IF(M33&gt;PosPLa1,PLa1l,0)-IF(M33&gt;PosPLb1,PLb1l,0)</f>
        <v>9.7125000000000004</v>
      </c>
      <c r="N37" s="68">
        <f>RL1l-2*N33-IF(N33&gt;PosPUDL1,PUDL1l*(N33-PosPUDL1),0)-IF(N33&gt;(PosPUDL1+3),-PUDL1l*(N33-PosPUDL1-3),0)-IF(N33&gt;PosPUDL2,PUDL2l*(N33-PosPUDL2),0)-IF(N33&gt;(PosPUDL2+LePUDL2),-PUDL2l*(N33-PosPUDL2-LePUDL2),0)-IF(N33&gt;PosPLa1,PLa1l,0)-IF(N33&gt;PosPLb1,PLb1l,0)</f>
        <v>9.5525000000000002</v>
      </c>
      <c r="O37" s="68">
        <f>RL1l-2*O33-IF(O33&gt;PosPUDL1,PUDL1l*(O33-PosPUDL1),0)-IF(O33&gt;(PosPUDL1+3),-PUDL1l*(O33-PosPUDL1-3),0)-IF(O33&gt;PosPUDL2,PUDL2l*(O33-PosPUDL2),0)-IF(O33&gt;(PosPUDL2+LePUDL2),-PUDL2l*(O33-PosPUDL2-LePUDL2),0)-IF(O33&gt;PosPLa1,PLa1l,0)-IF(O33&gt;PosPLb1,PLb1l,0)</f>
        <v>9.3925000000000001</v>
      </c>
      <c r="P37" s="68">
        <f>RL1l-2*P33-IF(P33&gt;PosPUDL1,PUDL1l*(P33-PosPUDL1),0)-IF(P33&gt;(PosPUDL1+3),-PUDL1l*(P33-PosPUDL1-3),0)-IF(P33&gt;PosPUDL2,PUDL2l*(P33-PosPUDL2),0)-IF(P33&gt;(PosPUDL2+LePUDL2),-PUDL2l*(P33-PosPUDL2-LePUDL2),0)-IF(P33&gt;PosPLa1,PLa1l,0)-IF(P33&gt;PosPLb1,PLb1l,0)</f>
        <v>9.1925000000000008</v>
      </c>
      <c r="Q37" s="68">
        <f>RL1l-2*Q33-IF(Q33&gt;PosPUDL1,PUDL1l*(Q33-PosPUDL1),0)-IF(Q33&gt;(PosPUDL1+3),-PUDL1l*(Q33-PosPUDL1-3),0)-IF(Q33&gt;PosPUDL2,PUDL2l*(Q33-PosPUDL2),0)-IF(Q33&gt;(PosPUDL2+LePUDL2),-PUDL2l*(Q33-PosPUDL2-LePUDL2),0)-IF(Q33&gt;PosPLa1,PLa1l,0)-IF(Q33&gt;PosPLb1,PLb1l,0)</f>
        <v>8.9525000000000006</v>
      </c>
      <c r="R37" s="68">
        <f>RL1l-2*R33-IF(R33&gt;PosPUDL1,PUDL1l*(R33-PosPUDL1),0)-IF(R33&gt;(PosPUDL1+3),-PUDL1l*(R33-PosPUDL1-3),0)-IF(R33&gt;PosPUDL2,PUDL2l*(R33-PosPUDL2),0)-IF(R33&gt;(PosPUDL2+LePUDL2),-PUDL2l*(R33-PosPUDL2-LePUDL2),0)-IF(R33&gt;PosPLa1,PLa1l,0)-IF(R33&gt;PosPLb1,PLb1l,0)</f>
        <v>8.7125000000000004</v>
      </c>
      <c r="S37" s="68">
        <f>RL1l-2*S33-IF(S33&gt;PosPUDL1,PUDL1l*(S33-PosPUDL1),0)-IF(S33&gt;(PosPUDL1+3),-PUDL1l*(S33-PosPUDL1-3),0)-IF(S33&gt;PosPUDL2,PUDL2l*(S33-PosPUDL2),0)-IF(S33&gt;(PosPUDL2+LePUDL2),-PUDL2l*(S33-PosPUDL2-LePUDL2),0)-IF(S33&gt;PosPLa1,PLa1l,0)-IF(S33&gt;PosPLb1,PLb1l,0)</f>
        <v>8.4725000000000001</v>
      </c>
      <c r="T37" s="68">
        <f>RL1l-2*T33-IF(T33&gt;PosPUDL1,PUDL1l*(T33-PosPUDL1),0)-IF(T33&gt;(PosPUDL1+3),-PUDL1l*(T33-PosPUDL1-3),0)-IF(T33&gt;PosPUDL2,PUDL2l*(T33-PosPUDL2),0)-IF(T33&gt;(PosPUDL2+LePUDL2),-PUDL2l*(T33-PosPUDL2-LePUDL2),0)-IF(T33&gt;PosPLa1,PLa1l,0)-IF(T33&gt;PosPLb1,PLb1l,0)</f>
        <v>8.2324999999999999</v>
      </c>
      <c r="U37" s="68">
        <f>RL1l-2*U33-IF(U33&gt;PosPUDL1,PUDL1l*(U33-PosPUDL1),0)-IF(U33&gt;(PosPUDL1+3),-PUDL1l*(U33-PosPUDL1-3),0)-IF(U33&gt;PosPUDL2,PUDL2l*(U33-PosPUDL2),0)-IF(U33&gt;(PosPUDL2+LePUDL2),-PUDL2l*(U33-PosPUDL2-LePUDL2),0)-IF(U33&gt;PosPLa1,PLa1l,0)-IF(U33&gt;PosPLb1,PLb1l,0)</f>
        <v>7.9924999999999988</v>
      </c>
      <c r="V37" s="68">
        <f>RL1l-2*V33-IF(V33&gt;PosPUDL1,PUDL1l*(V33-PosPUDL1),0)-IF(V33&gt;(PosPUDL1+3),-PUDL1l*(V33-PosPUDL1-3),0)-IF(V33&gt;PosPUDL2,PUDL2l*(V33-PosPUDL2),0)-IF(V33&gt;(PosPUDL2+LePUDL2),-PUDL2l*(V33-PosPUDL2-LePUDL2),0)-IF(V33&gt;PosPLa1,PLa1l,0)-IF(V33&gt;PosPLb1,PLb1l,0)</f>
        <v>7.7524999999999986</v>
      </c>
      <c r="W37" s="68">
        <f>RL1l-2*W33-IF(W33&gt;PosPUDL1,PUDL1l*(W33-PosPUDL1),0)-IF(W33&gt;(PosPUDL1+3),-PUDL1l*(W33-PosPUDL1-3),0)-IF(W33&gt;PosPUDL2,PUDL2l*(W33-PosPUDL2),0)-IF(W33&gt;(PosPUDL2+LePUDL2),-PUDL2l*(W33-PosPUDL2-LePUDL2),0)-IF(W33&gt;PosPLa1,PLa1l,0)-IF(W33&gt;PosPLb1,PLb1l,0)</f>
        <v>7.5124999999999984</v>
      </c>
      <c r="X37" s="68">
        <f>RL1l-2*X33-IF(X33&gt;PosPUDL1,PUDL1l*(X33-PosPUDL1),0)-IF(X33&gt;(PosPUDL1+3),-PUDL1l*(X33-PosPUDL1-3),0)-IF(X33&gt;PosPUDL2,PUDL2l*(X33-PosPUDL2),0)-IF(X33&gt;(PosPUDL2+LePUDL2),-PUDL2l*(X33-PosPUDL2-LePUDL2),0)-IF(X33&gt;PosPLa1,PLa1l,0)-IF(X33&gt;PosPLb1,PLb1l,0)</f>
        <v>7.2724999999999982</v>
      </c>
      <c r="Y37" s="68">
        <f>RL1l-2*Y33-IF(Y33&gt;PosPUDL1,PUDL1l*(Y33-PosPUDL1),0)-IF(Y33&gt;(PosPUDL1+3),-PUDL1l*(Y33-PosPUDL1-3),0)-IF(Y33&gt;PosPUDL2,PUDL2l*(Y33-PosPUDL2),0)-IF(Y33&gt;(PosPUDL2+LePUDL2),-PUDL2l*(Y33-PosPUDL2-LePUDL2),0)-IF(Y33&gt;PosPLa1,PLa1l,0)-IF(Y33&gt;PosPLb1,PLb1l,0)</f>
        <v>7.032499999999998</v>
      </c>
      <c r="Z37" s="68">
        <f>RL1l-2*Z33-IF(Z33&gt;PosPUDL1,PUDL1l*(Z33-PosPUDL1),0)-IF(Z33&gt;(PosPUDL1+3),-PUDL1l*(Z33-PosPUDL1-3),0)-IF(Z33&gt;PosPUDL2,PUDL2l*(Z33-PosPUDL2),0)-IF(Z33&gt;(PosPUDL2+LePUDL2),-PUDL2l*(Z33-PosPUDL2-LePUDL2),0)-IF(Z33&gt;PosPLa1,PLa1l,0)-IF(Z33&gt;PosPLb1,PLb1l,0)</f>
        <v>6.7924999999999978</v>
      </c>
      <c r="AA37" s="68">
        <f>RL1l-2*AA33-IF(AA33&gt;PosPUDL1,PUDL1l*(AA33-PosPUDL1),0)-IF(AA33&gt;(PosPUDL1+3),-PUDL1l*(AA33-PosPUDL1-3),0)-IF(AA33&gt;PosPUDL2,PUDL2l*(AA33-PosPUDL2),0)-IF(AA33&gt;(PosPUDL2+LePUDL2),-PUDL2l*(AA33-PosPUDL2-LePUDL2),0)-IF(AA33&gt;PosPLa1,PLa1l,0)-IF(AA33&gt;PosPLb1,PLb1l,0)</f>
        <v>6.5524999999999975</v>
      </c>
      <c r="AB37" s="68">
        <f>RL1l-2*AB33-IF(AB33&gt;PosPUDL1,PUDL1l*(AB33-PosPUDL1),0)-IF(AB33&gt;(PosPUDL1+3),-PUDL1l*(AB33-PosPUDL1-3),0)-IF(AB33&gt;PosPUDL2,PUDL2l*(AB33-PosPUDL2),0)-IF(AB33&gt;(PosPUDL2+LePUDL2),-PUDL2l*(AB33-PosPUDL2-LePUDL2),0)-IF(AB33&gt;PosPLa1,PLa1l,0)-IF(AB33&gt;PosPLb1,PLb1l,0)</f>
        <v>6.3124999999999982</v>
      </c>
      <c r="AC37" s="68">
        <f>RL1l-2*AC33-IF(AC33&gt;PosPUDL1,PUDL1l*(AC33-PosPUDL1),0)-IF(AC33&gt;(PosPUDL1+3),-PUDL1l*(AC33-PosPUDL1-3),0)-IF(AC33&gt;PosPUDL2,PUDL2l*(AC33-PosPUDL2),0)-IF(AC33&gt;(PosPUDL2+LePUDL2),-PUDL2l*(AC33-PosPUDL2-LePUDL2),0)-IF(AC33&gt;PosPLa1,PLa1l,0)-IF(AC33&gt;PosPLb1,PLb1l,0)</f>
        <v>6.072499999999998</v>
      </c>
      <c r="AD37" s="68">
        <f>RL1l-2*AD33-IF(AD33&gt;PosPUDL1,PUDL1l*(AD33-PosPUDL1),0)-IF(AD33&gt;(PosPUDL1+3),-PUDL1l*(AD33-PosPUDL1-3),0)-IF(AD33&gt;PosPUDL2,PUDL2l*(AD33-PosPUDL2),0)-IF(AD33&gt;(PosPUDL2+LePUDL2),-PUDL2l*(AD33-PosPUDL2-LePUDL2),0)-IF(AD33&gt;PosPLa1,PLa1l,0)-IF(AD33&gt;PosPLb1,PLb1l,0)</f>
        <v>5.8324999999999978</v>
      </c>
      <c r="AE37" s="68">
        <f>RL1l-2*AE33-IF(AE33&gt;PosPUDL1,PUDL1l*(AE33-PosPUDL1),0)-IF(AE33&gt;(PosPUDL1+3),-PUDL1l*(AE33-PosPUDL1-3),0)-IF(AE33&gt;PosPUDL2,PUDL2l*(AE33-PosPUDL2),0)-IF(AE33&gt;(PosPUDL2+LePUDL2),-PUDL2l*(AE33-PosPUDL2-LePUDL2),0)-IF(AE33&gt;PosPLa1,PLa1l,0)-IF(AE33&gt;PosPLb1,PLb1l,0)</f>
        <v>5.5924999999999976</v>
      </c>
      <c r="AF37" s="68">
        <f>RL1l-2*AF33-IF(AF33&gt;PosPUDL1,PUDL1l*(AF33-PosPUDL1),0)-IF(AF33&gt;(PosPUDL1+3),-PUDL1l*(AF33-PosPUDL1-3),0)-IF(AF33&gt;PosPUDL2,PUDL2l*(AF33-PosPUDL2),0)-IF(AF33&gt;(PosPUDL2+LePUDL2),-PUDL2l*(AF33-PosPUDL2-LePUDL2),0)-IF(AF33&gt;PosPLa1,PLa1l,0)-IF(AF33&gt;PosPLb1,PLb1l,0)</f>
        <v>5.3524999999999974</v>
      </c>
      <c r="AG37" s="68">
        <f>RL1l-2*AG33-IF(AG33&gt;PosPUDL1,PUDL1l*(AG33-PosPUDL1),0)-IF(AG33&gt;(PosPUDL1+3),-PUDL1l*(AG33-PosPUDL1-3),0)-IF(AG33&gt;PosPUDL2,PUDL2l*(AG33-PosPUDL2),0)-IF(AG33&gt;(PosPUDL2+LePUDL2),-PUDL2l*(AG33-PosPUDL2-LePUDL2),0)-IF(AG33&gt;PosPLa1,PLa1l,0)-IF(AG33&gt;PosPLb1,PLb1l,0)</f>
        <v>5.1124999999999972</v>
      </c>
      <c r="AH37" s="68">
        <f>RL1l-2*AH33-IF(AH33&gt;PosPUDL1,PUDL1l*(AH33-PosPUDL1),0)-IF(AH33&gt;(PosPUDL1+3),-PUDL1l*(AH33-PosPUDL1-3),0)-IF(AH33&gt;PosPUDL2,PUDL2l*(AH33-PosPUDL2),0)-IF(AH33&gt;(PosPUDL2+LePUDL2),-PUDL2l*(AH33-PosPUDL2-LePUDL2),0)-IF(AH33&gt;PosPLa1,PLa1l,0)-IF(AH33&gt;PosPLb1,PLb1l,0)</f>
        <v>4.8724999999999969</v>
      </c>
      <c r="AI37" s="68">
        <f>RL1l-2*AI33-IF(AI33&gt;PosPUDL1,PUDL1l*(AI33-PosPUDL1),0)-IF(AI33&gt;(PosPUDL1+3),-PUDL1l*(AI33-PosPUDL1-3),0)-IF(AI33&gt;PosPUDL2,PUDL2l*(AI33-PosPUDL2),0)-IF(AI33&gt;(PosPUDL2+LePUDL2),-PUDL2l*(AI33-PosPUDL2-LePUDL2),0)-IF(AI33&gt;PosPLa1,PLa1l,0)-IF(AI33&gt;PosPLb1,PLb1l,0)</f>
        <v>4.6324999999999967</v>
      </c>
      <c r="AJ37" s="68">
        <f>RL1l-2*AJ33-IF(AJ33&gt;PosPUDL1,PUDL1l*(AJ33-PosPUDL1),0)-IF(AJ33&gt;(PosPUDL1+3),-PUDL1l*(AJ33-PosPUDL1-3),0)-IF(AJ33&gt;PosPUDL2,PUDL2l*(AJ33-PosPUDL2),0)-IF(AJ33&gt;(PosPUDL2+LePUDL2),-PUDL2l*(AJ33-PosPUDL2-LePUDL2),0)-IF(AJ33&gt;PosPLa1,PLa1l,0)-IF(AJ33&gt;PosPLb1,PLb1l,0)</f>
        <v>4.3924999999999965</v>
      </c>
      <c r="AK37" s="68">
        <f>RL1l-2*AK33-IF(AK33&gt;PosPUDL1,PUDL1l*(AK33-PosPUDL1),0)-IF(AK33&gt;(PosPUDL1+3),-PUDL1l*(AK33-PosPUDL1-3),0)-IF(AK33&gt;PosPUDL2,PUDL2l*(AK33-PosPUDL2),0)-IF(AK33&gt;(PosPUDL2+LePUDL2),-PUDL2l*(AK33-PosPUDL2-LePUDL2),0)-IF(AK33&gt;PosPLa1,PLa1l,0)-IF(AK33&gt;PosPLb1,PLb1l,0)</f>
        <v>4.1524999999999963</v>
      </c>
      <c r="AL37" s="68">
        <f>RL1l-2*AL33-IF(AL33&gt;PosPUDL1,PUDL1l*(AL33-PosPUDL1),0)-IF(AL33&gt;(PosPUDL1+3),-PUDL1l*(AL33-PosPUDL1-3),0)-IF(AL33&gt;PosPUDL2,PUDL2l*(AL33-PosPUDL2),0)-IF(AL33&gt;(PosPUDL2+LePUDL2),-PUDL2l*(AL33-PosPUDL2-LePUDL2),0)-IF(AL33&gt;PosPLa1,PLa1l,0)-IF(AL33&gt;PosPLb1,PLb1l,0)</f>
        <v>3.9124999999999965</v>
      </c>
      <c r="AM37" s="68">
        <f>RL1l-2*AM33-IF(AM33&gt;PosPUDL1,PUDL1l*(AM33-PosPUDL1),0)-IF(AM33&gt;(PosPUDL1+3),-PUDL1l*(AM33-PosPUDL1-3),0)-IF(AM33&gt;PosPUDL2,PUDL2l*(AM33-PosPUDL2),0)-IF(AM33&gt;(PosPUDL2+LePUDL2),-PUDL2l*(AM33-PosPUDL2-LePUDL2),0)-IF(AM33&gt;PosPLa1,PLa1l,0)-IF(AM33&gt;PosPLb1,PLb1l,0)</f>
        <v>3.6724999999999963</v>
      </c>
      <c r="AN37" s="68">
        <f>RL1l-2*AN33-IF(AN33&gt;PosPUDL1,PUDL1l*(AN33-PosPUDL1),0)-IF(AN33&gt;(PosPUDL1+3),-PUDL1l*(AN33-PosPUDL1-3),0)-IF(AN33&gt;PosPUDL2,PUDL2l*(AN33-PosPUDL2),0)-IF(AN33&gt;(PosPUDL2+LePUDL2),-PUDL2l*(AN33-PosPUDL2-LePUDL2),0)-IF(AN33&gt;PosPLa1,PLa1l,0)-IF(AN33&gt;PosPLb1,PLb1l,0)</f>
        <v>3.4324999999999961</v>
      </c>
      <c r="AO37" s="68">
        <f>RL1l-2*AO33-IF(AO33&gt;PosPUDL1,PUDL1l*(AO33-PosPUDL1),0)-IF(AO33&gt;(PosPUDL1+3),-PUDL1l*(AO33-PosPUDL1-3),0)-IF(AO33&gt;PosPUDL2,PUDL2l*(AO33-PosPUDL2),0)-IF(AO33&gt;(PosPUDL2+LePUDL2),-PUDL2l*(AO33-PosPUDL2-LePUDL2),0)-IF(AO33&gt;PosPLa1,PLa1l,0)-IF(AO33&gt;PosPLb1,PLb1l,0)</f>
        <v>1.1924999999999959</v>
      </c>
      <c r="AP37" s="68">
        <f>RL1l-2*AP33-IF(AP33&gt;PosPUDL1,PUDL1l*(AP33-PosPUDL1),0)-IF(AP33&gt;(PosPUDL1+3),-PUDL1l*(AP33-PosPUDL1-3),0)-IF(AP33&gt;PosPUDL2,PUDL2l*(AP33-PosPUDL2),0)-IF(AP33&gt;(PosPUDL2+LePUDL2),-PUDL2l*(AP33-PosPUDL2-LePUDL2),0)-IF(AP33&gt;PosPLa1,PLa1l,0)-IF(AP33&gt;PosPLb1,PLb1l,0)</f>
        <v>0.95249999999999568</v>
      </c>
      <c r="AQ37" s="68">
        <f>RL1l-2*AQ33-IF(AQ33&gt;PosPUDL1,PUDL1l*(AQ33-PosPUDL1),0)-IF(AQ33&gt;(PosPUDL1+3),-PUDL1l*(AQ33-PosPUDL1-3),0)-IF(AQ33&gt;PosPUDL2,PUDL2l*(AQ33-PosPUDL2),0)-IF(AQ33&gt;(PosPUDL2+LePUDL2),-PUDL2l*(AQ33-PosPUDL2-LePUDL2),0)-IF(AQ33&gt;PosPLa1,PLa1l,0)-IF(AQ33&gt;PosPLb1,PLb1l,0)</f>
        <v>0.71249999999999547</v>
      </c>
      <c r="AR37" s="68">
        <f>RL1l-2*AR33-IF(AR33&gt;PosPUDL1,PUDL1l*(AR33-PosPUDL1),0)-IF(AR33&gt;(PosPUDL1+3),-PUDL1l*(AR33-PosPUDL1-3),0)-IF(AR33&gt;PosPUDL2,PUDL2l*(AR33-PosPUDL2),0)-IF(AR33&gt;(PosPUDL2+LePUDL2),-PUDL2l*(AR33-PosPUDL2-LePUDL2),0)-IF(AR33&gt;PosPLa1,PLa1l,0)-IF(AR33&gt;PosPLb1,PLb1l,0)</f>
        <v>0.47249999999999526</v>
      </c>
      <c r="AS37" s="68">
        <f>RL1l-2*AS33-IF(AS33&gt;PosPUDL1,PUDL1l*(AS33-PosPUDL1),0)-IF(AS33&gt;(PosPUDL1+3),-PUDL1l*(AS33-PosPUDL1-3),0)-IF(AS33&gt;PosPUDL2,PUDL2l*(AS33-PosPUDL2),0)-IF(AS33&gt;(PosPUDL2+LePUDL2),-PUDL2l*(AS33-PosPUDL2-LePUDL2),0)-IF(AS33&gt;PosPLa1,PLa1l,0)-IF(AS33&gt;PosPLb1,PLb1l,0)</f>
        <v>0.23249999999999504</v>
      </c>
      <c r="AT37" s="68">
        <f>RL1l-2*AT33-IF(AT33&gt;PosPUDL1,PUDL1l*(AT33-PosPUDL1),0)-IF(AT33&gt;(PosPUDL1+3),-PUDL1l*(AT33-PosPUDL1-3),0)-IF(AT33&gt;PosPUDL2,PUDL2l*(AT33-PosPUDL2),0)-IF(AT33&gt;(PosPUDL2+LePUDL2),-PUDL2l*(AT33-PosPUDL2-LePUDL2),0)-IF(AT33&gt;PosPLa1,PLa1l,0)-IF(AT33&gt;PosPLb1,PLb1l,0)</f>
        <v>-7.5000000000051692E-3</v>
      </c>
      <c r="AU37" s="68">
        <f>RL1l-2*AU33-IF(AU33&gt;PosPUDL1,PUDL1l*(AU33-PosPUDL1),0)-IF(AU33&gt;(PosPUDL1+3),-PUDL1l*(AU33-PosPUDL1-3),0)-IF(AU33&gt;PosPUDL2,PUDL2l*(AU33-PosPUDL2),0)-IF(AU33&gt;(PosPUDL2+LePUDL2),-PUDL2l*(AU33-PosPUDL2-LePUDL2),0)-IF(AU33&gt;PosPLa1,PLa1l,0)-IF(AU33&gt;PosPLb1,PLb1l,0)</f>
        <v>-0.24750000000000538</v>
      </c>
      <c r="AV37" s="68">
        <f>RL1l-2*AV33-IF(AV33&gt;PosPUDL1,PUDL1l*(AV33-PosPUDL1),0)-IF(AV33&gt;(PosPUDL1+3),-PUDL1l*(AV33-PosPUDL1-3),0)-IF(AV33&gt;PosPUDL2,PUDL2l*(AV33-PosPUDL2),0)-IF(AV33&gt;(PosPUDL2+LePUDL2),-PUDL2l*(AV33-PosPUDL2-LePUDL2),0)-IF(AV33&gt;PosPLa1,PLa1l,0)-IF(AV33&gt;PosPLb1,PLb1l,0)</f>
        <v>-0.4875000000000056</v>
      </c>
      <c r="AW37" s="68">
        <f>RL1l-2*AW33-IF(AW33&gt;PosPUDL1,PUDL1l*(AW33-PosPUDL1),0)-IF(AW33&gt;(PosPUDL1+3),-PUDL1l*(AW33-PosPUDL1-3),0)-IF(AW33&gt;PosPUDL2,PUDL2l*(AW33-PosPUDL2),0)-IF(AW33&gt;(PosPUDL2+LePUDL2),-PUDL2l*(AW33-PosPUDL2-LePUDL2),0)-IF(AW33&gt;PosPLa1,PLa1l,0)-IF(AW33&gt;PosPLb1,PLb1l,0)</f>
        <v>-0.72750000000000581</v>
      </c>
      <c r="AX37" s="68">
        <f>RL1l-2*AX33-IF(AX33&gt;PosPUDL1,PUDL1l*(AX33-PosPUDL1),0)-IF(AX33&gt;(PosPUDL1+3),-PUDL1l*(AX33-PosPUDL1-3),0)-IF(AX33&gt;PosPUDL2,PUDL2l*(AX33-PosPUDL2),0)-IF(AX33&gt;(PosPUDL2+LePUDL2),-PUDL2l*(AX33-PosPUDL2-LePUDL2),0)-IF(AX33&gt;PosPLa1,PLa1l,0)-IF(AX33&gt;PosPLb1,PLb1l,0)</f>
        <v>-0.96750000000000602</v>
      </c>
      <c r="AY37" s="68">
        <f>RL1l-2*AY33-IF(AY33&gt;PosPUDL1,PUDL1l*(AY33-PosPUDL1),0)-IF(AY33&gt;(PosPUDL1+3),-PUDL1l*(AY33-PosPUDL1-3),0)-IF(AY33&gt;PosPUDL2,PUDL2l*(AY33-PosPUDL2),0)-IF(AY33&gt;(PosPUDL2+LePUDL2),-PUDL2l*(AY33-PosPUDL2-LePUDL2),0)-IF(AY33&gt;PosPLa1,PLa1l,0)-IF(AY33&gt;PosPLb1,PLb1l,0)</f>
        <v>-1.2075000000000062</v>
      </c>
      <c r="AZ37" s="68">
        <f>RL1l-2*AZ33-IF(AZ33&gt;PosPUDL1,PUDL1l*(AZ33-PosPUDL1),0)-IF(AZ33&gt;(PosPUDL1+3),-PUDL1l*(AZ33-PosPUDL1-3),0)-IF(AZ33&gt;PosPUDL2,PUDL2l*(AZ33-PosPUDL2),0)-IF(AZ33&gt;(PosPUDL2+LePUDL2),-PUDL2l*(AZ33-PosPUDL2-LePUDL2),0)-IF(AZ33&gt;PosPLa1,PLa1l,0)-IF(AZ33&gt;PosPLb1,PLb1l,0)</f>
        <v>-1.4475000000000064</v>
      </c>
      <c r="BA37" s="68">
        <f>RL1l-2*BA33-IF(BA33&gt;PosPUDL1,PUDL1l*(BA33-PosPUDL1),0)-IF(BA33&gt;(PosPUDL1+3),-PUDL1l*(BA33-PosPUDL1-3),0)-IF(BA33&gt;PosPUDL2,PUDL2l*(BA33-PosPUDL2),0)-IF(BA33&gt;(PosPUDL2+LePUDL2),-PUDL2l*(BA33-PosPUDL2-LePUDL2),0)-IF(BA33&gt;PosPLa1,PLa1l,0)-IF(BA33&gt;PosPLb1,PLb1l,0)</f>
        <v>-1.6875000000000053</v>
      </c>
      <c r="BB37" s="68">
        <f>RL1l-2*BB33-IF(BB33&gt;PosPUDL1,PUDL1l*(BB33-PosPUDL1),0)-IF(BB33&gt;(PosPUDL1+3),-PUDL1l*(BB33-PosPUDL1-3),0)-IF(BB33&gt;PosPUDL2,PUDL2l*(BB33-PosPUDL2),0)-IF(BB33&gt;(PosPUDL2+LePUDL2),-PUDL2l*(BB33-PosPUDL2-LePUDL2),0)-IF(BB33&gt;PosPLa1,PLa1l,0)-IF(BB33&gt;PosPLb1,PLb1l,0)</f>
        <v>-1.8475000000000037</v>
      </c>
      <c r="BC37" s="68">
        <f>RL1l-2*BC33-IF(BC33&gt;PosPUDL1,PUDL1l*(BC33-PosPUDL1),0)-IF(BC33&gt;(PosPUDL1+3),-PUDL1l*(BC33-PosPUDL1-3),0)-IF(BC33&gt;PosPUDL2,PUDL2l*(BC33-PosPUDL2),0)-IF(BC33&gt;(PosPUDL2+LePUDL2),-PUDL2l*(BC33-PosPUDL2-LePUDL2),0)-IF(BC33&gt;PosPLa1,PLa1l,0)-IF(BC33&gt;PosPLb1,PLb1l,0)</f>
        <v>-2.0075000000000038</v>
      </c>
      <c r="BD37" s="68">
        <f>RL1l-2*BD33-IF(BD33&gt;PosPUDL1,PUDL1l*(BD33-PosPUDL1),0)-IF(BD33&gt;(PosPUDL1+3),-PUDL1l*(BD33-PosPUDL1-3),0)-IF(BD33&gt;PosPUDL2,PUDL2l*(BD33-PosPUDL2),0)-IF(BD33&gt;(PosPUDL2+LePUDL2),-PUDL2l*(BD33-PosPUDL2-LePUDL2),0)-IF(BD33&gt;PosPLa1,PLa1l,0)-IF(BD33&gt;PosPLb1,PLb1l,0)</f>
        <v>-2.167500000000004</v>
      </c>
      <c r="BE37" s="68">
        <f>RL1l-2*BE33-IF(BE33&gt;PosPUDL1,PUDL1l*(BE33-PosPUDL1),0)-IF(BE33&gt;(PosPUDL1+3),-PUDL1l*(BE33-PosPUDL1-3),0)-IF(BE33&gt;PosPUDL2,PUDL2l*(BE33-PosPUDL2),0)-IF(BE33&gt;(PosPUDL2+LePUDL2),-PUDL2l*(BE33-PosPUDL2-LePUDL2),0)-IF(BE33&gt;PosPLa1,PLa1l,0)-IF(BE33&gt;PosPLb1,PLb1l,0)</f>
        <v>-2.3275000000000041</v>
      </c>
      <c r="BF37" s="68">
        <f>RL1l-2*BF33-IF(BF33&gt;PosPUDL1,PUDL1l*(BF33-PosPUDL1),0)-IF(BF33&gt;(PosPUDL1+3),-PUDL1l*(BF33-PosPUDL1-3),0)-IF(BF33&gt;PosPUDL2,PUDL2l*(BF33-PosPUDL2),0)-IF(BF33&gt;(PosPUDL2+LePUDL2),-PUDL2l*(BF33-PosPUDL2-LePUDL2),0)-IF(BF33&gt;PosPLa1,PLa1l,0)-IF(BF33&gt;PosPLb1,PLb1l,0)</f>
        <v>-2.4875000000000043</v>
      </c>
      <c r="BG37" s="68">
        <f>RL1l-2*BG33-IF(BG33&gt;PosPUDL1,PUDL1l*(BG33-PosPUDL1),0)-IF(BG33&gt;(PosPUDL1+3),-PUDL1l*(BG33-PosPUDL1-3),0)-IF(BG33&gt;PosPUDL2,PUDL2l*(BG33-PosPUDL2),0)-IF(BG33&gt;(PosPUDL2+LePUDL2),-PUDL2l*(BG33-PosPUDL2-LePUDL2),0)-IF(BG33&gt;PosPLa1,PLa1l,0)-IF(BG33&gt;PosPLb1,PLb1l,0)</f>
        <v>-2.6475000000000044</v>
      </c>
      <c r="BH37" s="68">
        <f>RL1l-2*BH33-IF(BH33&gt;PosPUDL1,PUDL1l*(BH33-PosPUDL1),0)-IF(BH33&gt;(PosPUDL1+3),-PUDL1l*(BH33-PosPUDL1-3),0)-IF(BH33&gt;PosPUDL2,PUDL2l*(BH33-PosPUDL2),0)-IF(BH33&gt;(PosPUDL2+LePUDL2),-PUDL2l*(BH33-PosPUDL2-LePUDL2),0)-IF(BH33&gt;PosPLa1,PLa1l,0)-IF(BH33&gt;PosPLb1,PLb1l,0)</f>
        <v>-2.8075000000000045</v>
      </c>
      <c r="BI37" s="68">
        <f>RL1l-2*BI33-IF(BI33&gt;PosPUDL1,PUDL1l*(BI33-PosPUDL1),0)-IF(BI33&gt;(PosPUDL1+3),-PUDL1l*(BI33-PosPUDL1-3),0)-IF(BI33&gt;PosPUDL2,PUDL2l*(BI33-PosPUDL2),0)-IF(BI33&gt;(PosPUDL2+LePUDL2),-PUDL2l*(BI33-PosPUDL2-LePUDL2),0)-IF(BI33&gt;PosPLa1,PLa1l,0)-IF(BI33&gt;PosPLb1,PLb1l,0)</f>
        <v>-2.9675000000000047</v>
      </c>
      <c r="BJ37" s="68">
        <f>RL1l-2*BJ33-IF(BJ33&gt;PosPUDL1,PUDL1l*(BJ33-PosPUDL1),0)-IF(BJ33&gt;(PosPUDL1+3),-PUDL1l*(BJ33-PosPUDL1-3),0)-IF(BJ33&gt;PosPUDL2,PUDL2l*(BJ33-PosPUDL2),0)-IF(BJ33&gt;(PosPUDL2+LePUDL2),-PUDL2l*(BJ33-PosPUDL2-LePUDL2),0)-IF(BJ33&gt;PosPLa1,PLa1l,0)-IF(BJ33&gt;PosPLb1,PLb1l,0)</f>
        <v>-3.1275000000000048</v>
      </c>
      <c r="BK37" s="68">
        <f>RL1l-2*BK33-IF(BK33&gt;PosPUDL1,PUDL1l*(BK33-PosPUDL1),0)-IF(BK33&gt;(PosPUDL1+3),-PUDL1l*(BK33-PosPUDL1-3),0)-IF(BK33&gt;PosPUDL2,PUDL2l*(BK33-PosPUDL2),0)-IF(BK33&gt;(PosPUDL2+LePUDL2),-PUDL2l*(BK33-PosPUDL2-LePUDL2),0)-IF(BK33&gt;PosPLa1,PLa1l,0)-IF(BK33&gt;PosPLb1,PLb1l,0)</f>
        <v>-3.287500000000005</v>
      </c>
      <c r="BL37" s="68">
        <f>RL1l-2*BL33-IF(BL33&gt;PosPUDL1,PUDL1l*(BL33-PosPUDL1),0)-IF(BL33&gt;(PosPUDL1+3),-PUDL1l*(BL33-PosPUDL1-3),0)-IF(BL33&gt;PosPUDL2,PUDL2l*(BL33-PosPUDL2),0)-IF(BL33&gt;(PosPUDL2+LePUDL2),-PUDL2l*(BL33-PosPUDL2-LePUDL2),0)-IF(BL33&gt;PosPLa1,PLa1l,0)-IF(BL33&gt;PosPLb1,PLb1l,0)</f>
        <v>-3.4475000000000051</v>
      </c>
      <c r="BM37" s="68">
        <f>RL1l-2*BM33-IF(BM33&gt;PosPUDL1,PUDL1l*(BM33-PosPUDL1),0)-IF(BM33&gt;(PosPUDL1+3),-PUDL1l*(BM33-PosPUDL1-3),0)-IF(BM33&gt;PosPUDL2,PUDL2l*(BM33-PosPUDL2),0)-IF(BM33&gt;(PosPUDL2+LePUDL2),-PUDL2l*(BM33-PosPUDL2-LePUDL2),0)-IF(BM33&gt;PosPLa1,PLa1l,0)-IF(BM33&gt;PosPLb1,PLb1l,0)</f>
        <v>-3.6075000000000053</v>
      </c>
      <c r="BN37" s="68">
        <f>RL1l-2*BN33-IF(BN33&gt;PosPUDL1,PUDL1l*(BN33-PosPUDL1),0)-IF(BN33&gt;(PosPUDL1+3),-PUDL1l*(BN33-PosPUDL1-3),0)-IF(BN33&gt;PosPUDL2,PUDL2l*(BN33-PosPUDL2),0)-IF(BN33&gt;(PosPUDL2+LePUDL2),-PUDL2l*(BN33-PosPUDL2-LePUDL2),0)-IF(BN33&gt;PosPLa1,PLa1l,0)-IF(BN33&gt;PosPLb1,PLb1l,0)</f>
        <v>-3.7675000000000054</v>
      </c>
      <c r="BO37" s="68">
        <f>RL1l-2*BO33-IF(BO33&gt;PosPUDL1,PUDL1l*(BO33-PosPUDL1),0)-IF(BO33&gt;(PosPUDL1+3),-PUDL1l*(BO33-PosPUDL1-3),0)-IF(BO33&gt;PosPUDL2,PUDL2l*(BO33-PosPUDL2),0)-IF(BO33&gt;(PosPUDL2+LePUDL2),-PUDL2l*(BO33-PosPUDL2-LePUDL2),0)-IF(BO33&gt;PosPLa1,PLa1l,0)-IF(BO33&gt;PosPLb1,PLb1l,0)</f>
        <v>-3.9275000000000055</v>
      </c>
      <c r="BP37" s="68">
        <f>RL1l-2*BP33-IF(BP33&gt;PosPUDL1,PUDL1l*(BP33-PosPUDL1),0)-IF(BP33&gt;(PosPUDL1+3),-PUDL1l*(BP33-PosPUDL1-3),0)-IF(BP33&gt;PosPUDL2,PUDL2l*(BP33-PosPUDL2),0)-IF(BP33&gt;(PosPUDL2+LePUDL2),-PUDL2l*(BP33-PosPUDL2-LePUDL2),0)-IF(BP33&gt;PosPLa1,PLa1l,0)-IF(BP33&gt;PosPLb1,PLb1l,0)</f>
        <v>-4.0875000000000057</v>
      </c>
      <c r="BQ37" s="68">
        <f>RL1l-2*BQ33-IF(BQ33&gt;PosPUDL1,PUDL1l*(BQ33-PosPUDL1),0)-IF(BQ33&gt;(PosPUDL1+3),-PUDL1l*(BQ33-PosPUDL1-3),0)-IF(BQ33&gt;PosPUDL2,PUDL2l*(BQ33-PosPUDL2),0)-IF(BQ33&gt;(PosPUDL2+LePUDL2),-PUDL2l*(BQ33-PosPUDL2-LePUDL2),0)-IF(BQ33&gt;PosPLa1,PLa1l,0)-IF(BQ33&gt;PosPLb1,PLb1l,0)</f>
        <v>-4.2475000000000058</v>
      </c>
      <c r="BR37" s="68">
        <f>RL1l-2*BR33-IF(BR33&gt;PosPUDL1,PUDL1l*(BR33-PosPUDL1),0)-IF(BR33&gt;(PosPUDL1+3),-PUDL1l*(BR33-PosPUDL1-3),0)-IF(BR33&gt;PosPUDL2,PUDL2l*(BR33-PosPUDL2),0)-IF(BR33&gt;(PosPUDL2+LePUDL2),-PUDL2l*(BR33-PosPUDL2-LePUDL2),0)-IF(BR33&gt;PosPLa1,PLa1l,0)-IF(BR33&gt;PosPLb1,PLb1l,0)</f>
        <v>-4.407500000000006</v>
      </c>
      <c r="BS37" s="68">
        <f>RL1l-2*BS33-IF(BS33&gt;PosPUDL1,PUDL1l*(BS33-PosPUDL1),0)-IF(BS33&gt;(PosPUDL1+3),-PUDL1l*(BS33-PosPUDL1-3),0)-IF(BS33&gt;PosPUDL2,PUDL2l*(BS33-PosPUDL2),0)-IF(BS33&gt;(PosPUDL2+LePUDL2),-PUDL2l*(BS33-PosPUDL2-LePUDL2),0)-IF(BS33&gt;PosPLa1,PLa1l,0)-IF(BS33&gt;PosPLb1,PLb1l,0)</f>
        <v>-4.5675000000000061</v>
      </c>
      <c r="BT37" s="68">
        <f>RL1l-2*BT33-IF(BT33&gt;PosPUDL1,PUDL1l*(BT33-PosPUDL1),0)-IF(BT33&gt;(PosPUDL1+3),-PUDL1l*(BT33-PosPUDL1-3),0)-IF(BT33&gt;PosPUDL2,PUDL2l*(BT33-PosPUDL2),0)-IF(BT33&gt;(PosPUDL2+LePUDL2),-PUDL2l*(BT33-PosPUDL2-LePUDL2),0)-IF(BT33&gt;PosPLa1,PLa1l,0)-IF(BT33&gt;PosPLb1,PLb1l,0)</f>
        <v>-4.7275000000000063</v>
      </c>
      <c r="BU37" s="68">
        <f>RL1l-2*BU33-IF(BU33&gt;PosPUDL1,PUDL1l*(BU33-PosPUDL1),0)-IF(BU33&gt;(PosPUDL1+3),-PUDL1l*(BU33-PosPUDL1-3),0)-IF(BU33&gt;PosPUDL2,PUDL2l*(BU33-PosPUDL2),0)-IF(BU33&gt;(PosPUDL2+LePUDL2),-PUDL2l*(BU33-PosPUDL2-LePUDL2),0)-IF(BU33&gt;PosPLa1,PLa1l,0)-IF(BU33&gt;PosPLb1,PLb1l,0)</f>
        <v>-4.8875000000000064</v>
      </c>
      <c r="BV37" s="68">
        <f>RL1l-2*BV33-IF(BV33&gt;PosPUDL1,PUDL1l*(BV33-PosPUDL1),0)-IF(BV33&gt;(PosPUDL1+3),-PUDL1l*(BV33-PosPUDL1-3),0)-IF(BV33&gt;PosPUDL2,PUDL2l*(BV33-PosPUDL2),0)-IF(BV33&gt;(PosPUDL2+LePUDL2),-PUDL2l*(BV33-PosPUDL2-LePUDL2),0)-IF(BV33&gt;PosPLa1,PLa1l,0)-IF(BV33&gt;PosPLb1,PLb1l,0)</f>
        <v>-5.0475000000000065</v>
      </c>
      <c r="BW37" s="68">
        <f>RL1l-2*BW33-IF(BW33&gt;PosPUDL1,PUDL1l*(BW33-PosPUDL1),0)-IF(BW33&gt;(PosPUDL1+3),-PUDL1l*(BW33-PosPUDL1-3),0)-IF(BW33&gt;PosPUDL2,PUDL2l*(BW33-PosPUDL2),0)-IF(BW33&gt;(PosPUDL2+LePUDL2),-PUDL2l*(BW33-PosPUDL2-LePUDL2),0)-IF(BW33&gt;PosPLa1,PLa1l,0)-IF(BW33&gt;PosPLb1,PLb1l,0)</f>
        <v>-5.2075000000000067</v>
      </c>
      <c r="BX37" s="68">
        <f>RL1l-2*BX33-IF(BX33&gt;PosPUDL1,PUDL1l*(BX33-PosPUDL1),0)-IF(BX33&gt;(PosPUDL1+3),-PUDL1l*(BX33-PosPUDL1-3),0)-IF(BX33&gt;PosPUDL2,PUDL2l*(BX33-PosPUDL2),0)-IF(BX33&gt;(PosPUDL2+LePUDL2),-PUDL2l*(BX33-PosPUDL2-LePUDL2),0)-IF(BX33&gt;PosPLa1,PLa1l,0)-IF(BX33&gt;PosPLb1,PLb1l,0)</f>
        <v>-5.3675000000000068</v>
      </c>
      <c r="BY37" s="68">
        <f>RL1l-2*BY33-IF(BY33&gt;PosPUDL1,PUDL1l*(BY33-PosPUDL1),0)-IF(BY33&gt;(PosPUDL1+3),-PUDL1l*(BY33-PosPUDL1-3),0)-IF(BY33&gt;PosPUDL2,PUDL2l*(BY33-PosPUDL2),0)-IF(BY33&gt;(PosPUDL2+LePUDL2),-PUDL2l*(BY33-PosPUDL2-LePUDL2),0)-IF(BY33&gt;PosPLa1,PLa1l,0)-IF(BY33&gt;PosPLb1,PLb1l,0)</f>
        <v>-5.527500000000007</v>
      </c>
      <c r="BZ37" s="68">
        <f>RL1l-2*BZ33-IF(BZ33&gt;PosPUDL1,PUDL1l*(BZ33-PosPUDL1),0)-IF(BZ33&gt;(PosPUDL1+3),-PUDL1l*(BZ33-PosPUDL1-3),0)-IF(BZ33&gt;PosPUDL2,PUDL2l*(BZ33-PosPUDL2),0)-IF(BZ33&gt;(PosPUDL2+LePUDL2),-PUDL2l*(BZ33-PosPUDL2-LePUDL2),0)-IF(BZ33&gt;PosPLa1,PLa1l,0)-IF(BZ33&gt;PosPLb1,PLb1l,0)</f>
        <v>-5.6875000000000071</v>
      </c>
      <c r="CA37" s="68">
        <f>RL1l-2*CA33-IF(CA33&gt;PosPUDL1,PUDL1l*(CA33-PosPUDL1),0)-IF(CA33&gt;(PosPUDL1+3),-PUDL1l*(CA33-PosPUDL1-3),0)-IF(CA33&gt;PosPUDL2,PUDL2l*(CA33-PosPUDL2),0)-IF(CA33&gt;(PosPUDL2+LePUDL2),-PUDL2l*(CA33-PosPUDL2-LePUDL2),0)-IF(CA33&gt;PosPLa1,PLa1l,0)-IF(CA33&gt;PosPLb1,PLb1l,0)</f>
        <v>-5.8475000000000072</v>
      </c>
      <c r="CB37" s="68">
        <f>RL1l-2*CB33-IF(CB33&gt;PosPUDL1,PUDL1l*(CB33-PosPUDL1),0)-IF(CB33&gt;(PosPUDL1+3),-PUDL1l*(CB33-PosPUDL1-3),0)-IF(CB33&gt;PosPUDL2,PUDL2l*(CB33-PosPUDL2),0)-IF(CB33&gt;(PosPUDL2+LePUDL2),-PUDL2l*(CB33-PosPUDL2-LePUDL2),0)-IF(CB33&gt;PosPLa1,PLa1l,0)-IF(CB33&gt;PosPLb1,PLb1l,0)</f>
        <v>-6.0075000000000074</v>
      </c>
      <c r="CC37" s="68">
        <f>RL1l-2*CC33-IF(CC33&gt;PosPUDL1,PUDL1l*(CC33-PosPUDL1),0)-IF(CC33&gt;(PosPUDL1+3),-PUDL1l*(CC33-PosPUDL1-3),0)-IF(CC33&gt;PosPUDL2,PUDL2l*(CC33-PosPUDL2),0)-IF(CC33&gt;(PosPUDL2+LePUDL2),-PUDL2l*(CC33-PosPUDL2-LePUDL2),0)-IF(CC33&gt;PosPLa1,PLa1l,0)-IF(CC33&gt;PosPLb1,PLb1l,0)</f>
        <v>-6.1675000000000075</v>
      </c>
      <c r="CD37" s="68">
        <f>RL1l-2*CD33-IF(CD33&gt;PosPUDL1,PUDL1l*(CD33-PosPUDL1),0)-IF(CD33&gt;(PosPUDL1+3),-PUDL1l*(CD33-PosPUDL1-3),0)-IF(CD33&gt;PosPUDL2,PUDL2l*(CD33-PosPUDL2),0)-IF(CD33&gt;(PosPUDL2+LePUDL2),-PUDL2l*(CD33-PosPUDL2-LePUDL2),0)-IF(CD33&gt;PosPLa1,PLa1l,0)-IF(CD33&gt;PosPLb1,PLb1l,0)</f>
        <v>-6.3275000000000077</v>
      </c>
      <c r="CE37" s="68">
        <f>RL1l-2*CE33-IF(CE33&gt;PosPUDL1,PUDL1l*(CE33-PosPUDL1),0)-IF(CE33&gt;(PosPUDL1+3),-PUDL1l*(CE33-PosPUDL1-3),0)-IF(CE33&gt;PosPUDL2,PUDL2l*(CE33-PosPUDL2),0)-IF(CE33&gt;(PosPUDL2+LePUDL2),-PUDL2l*(CE33-PosPUDL2-LePUDL2),0)-IF(CE33&gt;PosPLa1,PLa1l,0)-IF(CE33&gt;PosPLb1,PLb1l,0)</f>
        <v>-6.4875000000000078</v>
      </c>
      <c r="CF37" s="68">
        <f>RL1l-2*CF33-IF(CF33&gt;PosPUDL1,PUDL1l*(CF33-PosPUDL1),0)-IF(CF33&gt;(PosPUDL1+3),-PUDL1l*(CF33-PosPUDL1-3),0)-IF(CF33&gt;PosPUDL2,PUDL2l*(CF33-PosPUDL2),0)-IF(CF33&gt;(PosPUDL2+LePUDL2),-PUDL2l*(CF33-PosPUDL2-LePUDL2),0)-IF(CF33&gt;PosPLa1,PLa1l,0)-IF(CF33&gt;PosPLb1,PLb1l,0)</f>
        <v>-6.647500000000008</v>
      </c>
      <c r="CG37" s="68">
        <f>RL1l-2*CG33-IF(CG33&gt;PosPUDL1,PUDL1l*(CG33-PosPUDL1),0)-IF(CG33&gt;(PosPUDL1+3),-PUDL1l*(CG33-PosPUDL1-3),0)-IF(CG33&gt;PosPUDL2,PUDL2l*(CG33-PosPUDL2),0)-IF(CG33&gt;(PosPUDL2+LePUDL2),-PUDL2l*(CG33-PosPUDL2-LePUDL2),0)-IF(CG33&gt;PosPLa1,PLa1l,0)-IF(CG33&gt;PosPLb1,PLb1l,0)</f>
        <v>-6.8075000000000081</v>
      </c>
      <c r="CH37" s="68">
        <f>RL1l-2*CH33-IF(CH33&gt;PosPUDL1,PUDL1l*(CH33-PosPUDL1),0)-IF(CH33&gt;(PosPUDL1+3),-PUDL1l*(CH33-PosPUDL1-3),0)-IF(CH33&gt;PosPUDL2,PUDL2l*(CH33-PosPUDL2),0)-IF(CH33&gt;(PosPUDL2+LePUDL2),-PUDL2l*(CH33-PosPUDL2-LePUDL2),0)-IF(CH33&gt;PosPLa1,PLa1l,0)-IF(CH33&gt;PosPLb1,PLb1l,0)</f>
        <v>-6.9675000000000082</v>
      </c>
      <c r="CI37" s="68">
        <f>RL1l-2*CI33-IF(CI33&gt;PosPUDL1,PUDL1l*(CI33-PosPUDL1),0)-IF(CI33&gt;(PosPUDL1+3),-PUDL1l*(CI33-PosPUDL1-3),0)-IF(CI33&gt;PosPUDL2,PUDL2l*(CI33-PosPUDL2),0)-IF(CI33&gt;(PosPUDL2+LePUDL2),-PUDL2l*(CI33-PosPUDL2-LePUDL2),0)-IF(CI33&gt;PosPLa1,PLa1l,0)-IF(CI33&gt;PosPLb1,PLb1l,0)</f>
        <v>-7.1275000000000084</v>
      </c>
      <c r="CJ37" s="68">
        <f>RL1l-2*CJ33-IF(CJ33&gt;PosPUDL1,PUDL1l*(CJ33-PosPUDL1),0)-IF(CJ33&gt;(PosPUDL1+3),-PUDL1l*(CJ33-PosPUDL1-3),0)-IF(CJ33&gt;PosPUDL2,PUDL2l*(CJ33-PosPUDL2),0)-IF(CJ33&gt;(PosPUDL2+LePUDL2),-PUDL2l*(CJ33-PosPUDL2-LePUDL2),0)-IF(CJ33&gt;PosPLa1,PLa1l,0)-IF(CJ33&gt;PosPLb1,PLb1l,0)</f>
        <v>-7.2875000000000085</v>
      </c>
      <c r="CK37" s="68">
        <f>RL1l-2*CK33-IF(CK33&gt;PosPUDL1,PUDL1l*(CK33-PosPUDL1),0)-IF(CK33&gt;(PosPUDL1+3),-PUDL1l*(CK33-PosPUDL1-3),0)-IF(CK33&gt;PosPUDL2,PUDL2l*(CK33-PosPUDL2),0)-IF(CK33&gt;(PosPUDL2+LePUDL2),-PUDL2l*(CK33-PosPUDL2-LePUDL2),0)-IF(CK33&gt;PosPLa1,PLa1l,0)-IF(CK33&gt;PosPLb1,PLb1l,0)</f>
        <v>-7.4475000000000087</v>
      </c>
      <c r="CL37" s="68">
        <f>RL1l-2*CL33-IF(CL33&gt;PosPUDL1,PUDL1l*(CL33-PosPUDL1),0)-IF(CL33&gt;(PosPUDL1+3),-PUDL1l*(CL33-PosPUDL1-3),0)-IF(CL33&gt;PosPUDL2,PUDL2l*(CL33-PosPUDL2),0)-IF(CL33&gt;(PosPUDL2+LePUDL2),-PUDL2l*(CL33-PosPUDL2-LePUDL2),0)-IF(CL33&gt;PosPLa1,PLa1l,0)-IF(CL33&gt;PosPLb1,PLb1l,0)</f>
        <v>-7.6075000000000088</v>
      </c>
      <c r="CM37" s="68">
        <f>RL1l-2*CM33-IF(CM33&gt;PosPUDL1,PUDL1l*(CM33-PosPUDL1),0)-IF(CM33&gt;(PosPUDL1+3),-PUDL1l*(CM33-PosPUDL1-3),0)-IF(CM33&gt;PosPUDL2,PUDL2l*(CM33-PosPUDL2),0)-IF(CM33&gt;(PosPUDL2+LePUDL2),-PUDL2l*(CM33-PosPUDL2-LePUDL2),0)-IF(CM33&gt;PosPLa1,PLa1l,0)-IF(CM33&gt;PosPLb1,PLb1l,0)</f>
        <v>-7.767500000000009</v>
      </c>
      <c r="CN37" s="68">
        <f>RL1l-2*CN33-IF(CN33&gt;PosPUDL1,PUDL1l*(CN33-PosPUDL1),0)-IF(CN33&gt;(PosPUDL1+3),-PUDL1l*(CN33-PosPUDL1-3),0)-IF(CN33&gt;PosPUDL2,PUDL2l*(CN33-PosPUDL2),0)-IF(CN33&gt;(PosPUDL2+LePUDL2),-PUDL2l*(CN33-PosPUDL2-LePUDL2),0)-IF(CN33&gt;PosPLa1,PLa1l,0)-IF(CN33&gt;PosPLb1,PLb1l,0)</f>
        <v>-7.9275000000000091</v>
      </c>
      <c r="CO37" s="68">
        <f>RL1l-2*CO33-IF(CO33&gt;PosPUDL1,PUDL1l*(CO33-PosPUDL1),0)-IF(CO33&gt;(PosPUDL1+3),-PUDL1l*(CO33-PosPUDL1-3),0)-IF(CO33&gt;PosPUDL2,PUDL2l*(CO33-PosPUDL2),0)-IF(CO33&gt;(PosPUDL2+LePUDL2),-PUDL2l*(CO33-PosPUDL2-LePUDL2),0)-IF(CO33&gt;PosPLa1,PLa1l,0)-IF(CO33&gt;PosPLb1,PLb1l,0)</f>
        <v>-8.0875000000000092</v>
      </c>
      <c r="CP37" s="68">
        <f>RL1l-2*CP33-IF(CP33&gt;PosPUDL1,PUDL1l*(CP33-PosPUDL1),0)-IF(CP33&gt;(PosPUDL1+3),-PUDL1l*(CP33-PosPUDL1-3),0)-IF(CP33&gt;PosPUDL2,PUDL2l*(CP33-PosPUDL2),0)-IF(CP33&gt;(PosPUDL2+LePUDL2),-PUDL2l*(CP33-PosPUDL2-LePUDL2),0)-IF(CP33&gt;PosPLa1,PLa1l,0)-IF(CP33&gt;PosPLb1,PLb1l,0)</f>
        <v>-8.2475000000000094</v>
      </c>
      <c r="CQ37" s="68">
        <f>RL1l-2*CQ33-IF(CQ33&gt;PosPUDL1,PUDL1l*(CQ33-PosPUDL1),0)-IF(CQ33&gt;(PosPUDL1+3),-PUDL1l*(CQ33-PosPUDL1-3),0)-IF(CQ33&gt;PosPUDL2,PUDL2l*(CQ33-PosPUDL2),0)-IF(CQ33&gt;(PosPUDL2+LePUDL2),-PUDL2l*(CQ33-PosPUDL2-LePUDL2),0)-IF(CQ33&gt;PosPLa1,PLa1l,0)-IF(CQ33&gt;PosPLb1,PLb1l,0)</f>
        <v>-8.4075000000000095</v>
      </c>
      <c r="CR37" s="68">
        <f>RL1l-2*CR33-IF(CR33&gt;PosPUDL1,PUDL1l*(CR33-PosPUDL1),0)-IF(CR33&gt;(PosPUDL1+3),-PUDL1l*(CR33-PosPUDL1-3),0)-IF(CR33&gt;PosPUDL2,PUDL2l*(CR33-PosPUDL2),0)-IF(CR33&gt;(PosPUDL2+LePUDL2),-PUDL2l*(CR33-PosPUDL2-LePUDL2),0)-IF(CR33&gt;PosPLa1,PLa1l,0)-IF(CR33&gt;PosPLb1,PLb1l,0)</f>
        <v>-8.5675000000000097</v>
      </c>
      <c r="CS37" s="68">
        <f>RL1l-2*CS33-IF(CS33&gt;PosPUDL1,PUDL1l*(CS33-PosPUDL1),0)-IF(CS33&gt;(PosPUDL1+3),-PUDL1l*(CS33-PosPUDL1-3),0)-IF(CS33&gt;PosPUDL2,PUDL2l*(CS33-PosPUDL2),0)-IF(CS33&gt;(PosPUDL2+LePUDL2),-PUDL2l*(CS33-PosPUDL2-LePUDL2),0)-IF(CS33&gt;PosPLa1,PLa1l,0)-IF(CS33&gt;PosPLb1,PLb1l,0)</f>
        <v>-8.7275000000000098</v>
      </c>
      <c r="CT37" s="68">
        <f>RL1l-2*CT33-IF(CT33&gt;PosPUDL1,PUDL1l*(CT33-PosPUDL1),0)-IF(CT33&gt;(PosPUDL1+3),-PUDL1l*(CT33-PosPUDL1-3),0)-IF(CT33&gt;PosPUDL2,PUDL2l*(CT33-PosPUDL2),0)-IF(CT33&gt;(PosPUDL2+LePUDL2),-PUDL2l*(CT33-PosPUDL2-LePUDL2),0)-IF(CT33&gt;PosPLa1,PLa1l,0)-IF(CT33&gt;PosPLb1,PLb1l,0)</f>
        <v>-8.8875000000000099</v>
      </c>
      <c r="CU37" s="68">
        <f>RL1l-2*CU33-IF(CU33&gt;PosPUDL1,PUDL1l*(CU33-PosPUDL1),0)-IF(CU33&gt;(PosPUDL1+3),-PUDL1l*(CU33-PosPUDL1-3),0)-IF(CU33&gt;PosPUDL2,PUDL2l*(CU33-PosPUDL2),0)-IF(CU33&gt;(PosPUDL2+LePUDL2),-PUDL2l*(CU33-PosPUDL2-LePUDL2),0)-IF(CU33&gt;PosPLa1,PLa1l,0)-IF(CU33&gt;PosPLb1,PLb1l,0)</f>
        <v>-9.0475000000000101</v>
      </c>
      <c r="CV37" s="68">
        <f>RL1l-2*CV33-IF(CV33&gt;PosPUDL1,PUDL1l*(CV33-PosPUDL1),0)-IF(CV33&gt;(PosPUDL1+3),-PUDL1l*(CV33-PosPUDL1-3),0)-IF(CV33&gt;PosPUDL2,PUDL2l*(CV33-PosPUDL2),0)-IF(CV33&gt;(PosPUDL2+LePUDL2),-PUDL2l*(CV33-PosPUDL2-LePUDL2),0)-IF(CV33&gt;PosPLa1,PLa1l,0)-IF(CV33&gt;PosPLb1,PLb1l,0)</f>
        <v>-9.2075000000000102</v>
      </c>
      <c r="CW37" s="68">
        <f>RL1l-2*CW33-IF(CW33&gt;PosPUDL1,PUDL1l*(CW33-PosPUDL1),0)-IF(CW33&gt;(PosPUDL1+3),-PUDL1l*(CW33-PosPUDL1-3),0)-IF(CW33&gt;PosPUDL2,PUDL2l*(CW33-PosPUDL2),0)-IF(CW33&gt;(PosPUDL2+LePUDL2),-PUDL2l*(CW33-PosPUDL2-LePUDL2),0)-IF(CW33&gt;PosPLa1,PLa1l,0)-IF(CW33&gt;PosPLb1,PLb1l,0)</f>
        <v>-9.3675000000000104</v>
      </c>
      <c r="CX37" s="68">
        <f>RL1l-2*CX33-IF(CX33&gt;PosPUDL1,PUDL1l*(CX33-PosPUDL1),0)-IF(CX33&gt;(PosPUDL1+3),-PUDL1l*(CX33-PosPUDL1-3),0)-IF(CX33&gt;PosPUDL2,PUDL2l*(CX33-PosPUDL2),0)-IF(CX33&gt;(PosPUDL2+LePUDL2),-PUDL2l*(CX33-PosPUDL2-LePUDL2),0)-IF(CX33&gt;PosPLa1,PLa1l,0)-IF(CX33&gt;PosPLb1,PLb1l,0)</f>
        <v>-9.5275000000000105</v>
      </c>
      <c r="CY37" s="68">
        <f>RL1l-2*CY33-IF(CY33&gt;PosPUDL1,PUDL1l*(CY33-PosPUDL1),0)-IF(CY33&gt;(PosPUDL1+3),-PUDL1l*(CY33-PosPUDL1-3),0)-IF(CY33&gt;PosPUDL2,PUDL2l*(CY33-PosPUDL2),0)-IF(CY33&gt;(PosPUDL2+LePUDL2),-PUDL2l*(CY33-PosPUDL2-LePUDL2),0)-IF(CY33&gt;PosPLa1,PLa1l,0)-IF(CY33&gt;PosPLb1,PLb1l,0)</f>
        <v>-9.6875000000000107</v>
      </c>
    </row>
    <row r="40" spans="2:105">
      <c r="C40" s="69" t="s">
        <v>42</v>
      </c>
    </row>
    <row r="42" spans="2:105">
      <c r="B42" s="332" t="s">
        <v>43</v>
      </c>
      <c r="C42" s="2" t="s">
        <v>44</v>
      </c>
    </row>
    <row r="43" spans="2:105" ht="15">
      <c r="B43" s="332"/>
      <c r="C43" s="2" t="s">
        <v>45</v>
      </c>
    </row>
    <row r="44" spans="2:105" ht="15">
      <c r="B44" s="332"/>
      <c r="C44" s="2" t="s">
        <v>46</v>
      </c>
    </row>
    <row r="46" spans="2:105">
      <c r="B46" s="2"/>
      <c r="C46" s="70" t="s">
        <v>54</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row>
    <row r="47" spans="2:105">
      <c r="B47" s="56" t="s">
        <v>36</v>
      </c>
      <c r="C47" s="63">
        <v>0</v>
      </c>
      <c r="D47" s="64">
        <f>8/100</f>
        <v>0.08</v>
      </c>
      <c r="E47" s="64">
        <f>D47+8/100</f>
        <v>0.16</v>
      </c>
      <c r="F47" s="64">
        <f>E47+8/100</f>
        <v>0.24</v>
      </c>
      <c r="G47" s="64">
        <f>F47+8/100</f>
        <v>0.32</v>
      </c>
      <c r="H47" s="64">
        <f>G47+8/100</f>
        <v>0.4</v>
      </c>
      <c r="I47" s="64">
        <f>H47+8/100</f>
        <v>0.48000000000000004</v>
      </c>
      <c r="J47" s="64">
        <f>I47+8/100</f>
        <v>0.56000000000000005</v>
      </c>
      <c r="K47" s="64">
        <f>J47+8/100</f>
        <v>0.64</v>
      </c>
      <c r="L47" s="64">
        <f>K47+8/100</f>
        <v>0.72</v>
      </c>
      <c r="M47" s="64">
        <f>L47+8/100</f>
        <v>0.79999999999999993</v>
      </c>
      <c r="N47" s="64">
        <f>M47+8/100</f>
        <v>0.87999999999999989</v>
      </c>
      <c r="O47" s="64">
        <f>N47+8/100</f>
        <v>0.95999999999999985</v>
      </c>
      <c r="P47" s="64">
        <f>O47+8/100</f>
        <v>1.0399999999999998</v>
      </c>
      <c r="Q47" s="64">
        <f>P47+8/100</f>
        <v>1.1199999999999999</v>
      </c>
      <c r="R47" s="64">
        <f>Q47+8/100</f>
        <v>1.2</v>
      </c>
      <c r="S47" s="64">
        <f>R47+8/100</f>
        <v>1.28</v>
      </c>
      <c r="T47" s="64">
        <f>S47+8/100</f>
        <v>1.36</v>
      </c>
      <c r="U47" s="64">
        <f>T47+8/100</f>
        <v>1.4400000000000002</v>
      </c>
      <c r="V47" s="64">
        <f>U47+8/100</f>
        <v>1.5200000000000002</v>
      </c>
      <c r="W47" s="64">
        <f>V47+8/100</f>
        <v>1.6000000000000003</v>
      </c>
      <c r="X47" s="64">
        <f>W47+8/100</f>
        <v>1.6800000000000004</v>
      </c>
      <c r="Y47" s="64">
        <f>X47+8/100</f>
        <v>1.7600000000000005</v>
      </c>
      <c r="Z47" s="64">
        <f>Y47+8/100</f>
        <v>1.8400000000000005</v>
      </c>
      <c r="AA47" s="64">
        <f>Z47+8/100</f>
        <v>1.9200000000000006</v>
      </c>
      <c r="AB47" s="64">
        <f>AA47+8/100</f>
        <v>2.0000000000000004</v>
      </c>
      <c r="AC47" s="64">
        <f>AB47+8/100</f>
        <v>2.0800000000000005</v>
      </c>
      <c r="AD47" s="64">
        <f>AC47+8/100</f>
        <v>2.1600000000000006</v>
      </c>
      <c r="AE47" s="64">
        <f>AD47+8/100</f>
        <v>2.2400000000000007</v>
      </c>
      <c r="AF47" s="64">
        <f>AE47+8/100</f>
        <v>2.3200000000000007</v>
      </c>
      <c r="AG47" s="64">
        <f>AF47+8/100</f>
        <v>2.4000000000000008</v>
      </c>
      <c r="AH47" s="64">
        <f>AG47+8/100</f>
        <v>2.4800000000000009</v>
      </c>
      <c r="AI47" s="64">
        <f>AH47+8/100</f>
        <v>2.5600000000000009</v>
      </c>
      <c r="AJ47" s="64">
        <f>AI47+8/100</f>
        <v>2.640000000000001</v>
      </c>
      <c r="AK47" s="64">
        <f>AJ47+8/100</f>
        <v>2.7200000000000011</v>
      </c>
      <c r="AL47" s="64">
        <f>AK47+8/100</f>
        <v>2.8000000000000012</v>
      </c>
      <c r="AM47" s="64">
        <f>AL47+8/100</f>
        <v>2.8800000000000012</v>
      </c>
      <c r="AN47" s="64">
        <f>AM47+8/100</f>
        <v>2.9600000000000013</v>
      </c>
      <c r="AO47" s="64">
        <f>AN47+8/100</f>
        <v>3.0400000000000014</v>
      </c>
      <c r="AP47" s="64">
        <f>AO47+8/100</f>
        <v>3.1200000000000014</v>
      </c>
      <c r="AQ47" s="64">
        <f>AP47+8/100</f>
        <v>3.2000000000000015</v>
      </c>
      <c r="AR47" s="64">
        <f>AQ47+8/100</f>
        <v>3.2800000000000016</v>
      </c>
      <c r="AS47" s="64">
        <f>AR47+8/100</f>
        <v>3.3600000000000017</v>
      </c>
      <c r="AT47" s="64">
        <f>AS47+8/100</f>
        <v>3.4400000000000017</v>
      </c>
      <c r="AU47" s="64">
        <f>AT47+8/100</f>
        <v>3.5200000000000018</v>
      </c>
      <c r="AV47" s="64">
        <f>AU47+8/100</f>
        <v>3.6000000000000019</v>
      </c>
      <c r="AW47" s="64">
        <f>AV47+8/100</f>
        <v>3.6800000000000019</v>
      </c>
      <c r="AX47" s="64">
        <f>AW47+8/100</f>
        <v>3.760000000000002</v>
      </c>
      <c r="AY47" s="64">
        <f>AX47+8/100</f>
        <v>3.8400000000000021</v>
      </c>
      <c r="AZ47" s="64">
        <f>AY47+8/100</f>
        <v>3.9200000000000021</v>
      </c>
      <c r="BA47" s="64">
        <f>AZ47+8/100</f>
        <v>4.0000000000000018</v>
      </c>
      <c r="BB47" s="64">
        <f>BA47+8/100</f>
        <v>4.0800000000000018</v>
      </c>
      <c r="BC47" s="64">
        <f>BB47+8/100</f>
        <v>4.1600000000000019</v>
      </c>
      <c r="BD47" s="64">
        <f>BC47+8/100</f>
        <v>4.240000000000002</v>
      </c>
      <c r="BE47" s="64">
        <f>BD47+8/100</f>
        <v>4.3200000000000021</v>
      </c>
      <c r="BF47" s="64">
        <f>BE47+8/100</f>
        <v>4.4000000000000021</v>
      </c>
      <c r="BG47" s="64">
        <f>BF47+8/100</f>
        <v>4.4800000000000022</v>
      </c>
      <c r="BH47" s="64">
        <f>BG47+8/100</f>
        <v>4.5600000000000023</v>
      </c>
      <c r="BI47" s="64">
        <f>BH47+8/100</f>
        <v>4.6400000000000023</v>
      </c>
      <c r="BJ47" s="64">
        <f>BI47+8/100</f>
        <v>4.7200000000000024</v>
      </c>
      <c r="BK47" s="64">
        <f>BJ47+8/100</f>
        <v>4.8000000000000025</v>
      </c>
      <c r="BL47" s="64">
        <f>BK47+8/100</f>
        <v>4.8800000000000026</v>
      </c>
      <c r="BM47" s="64">
        <f>BL47+8/100</f>
        <v>4.9600000000000026</v>
      </c>
      <c r="BN47" s="64">
        <f>BM47+8/100</f>
        <v>5.0400000000000027</v>
      </c>
      <c r="BO47" s="64">
        <f>BN47+8/100</f>
        <v>5.1200000000000028</v>
      </c>
      <c r="BP47" s="64">
        <f>BO47+8/100</f>
        <v>5.2000000000000028</v>
      </c>
      <c r="BQ47" s="64">
        <f>BP47+8/100</f>
        <v>5.2800000000000029</v>
      </c>
      <c r="BR47" s="64">
        <f>BQ47+8/100</f>
        <v>5.360000000000003</v>
      </c>
      <c r="BS47" s="64">
        <f>BR47+8/100</f>
        <v>5.4400000000000031</v>
      </c>
      <c r="BT47" s="64">
        <f>BS47+8/100</f>
        <v>5.5200000000000031</v>
      </c>
      <c r="BU47" s="64">
        <f>BT47+8/100</f>
        <v>5.6000000000000032</v>
      </c>
      <c r="BV47" s="64">
        <f>BU47+8/100</f>
        <v>5.6800000000000033</v>
      </c>
      <c r="BW47" s="64">
        <f>BV47+8/100</f>
        <v>5.7600000000000033</v>
      </c>
      <c r="BX47" s="64">
        <f>BW47+8/100</f>
        <v>5.8400000000000034</v>
      </c>
      <c r="BY47" s="64">
        <f>BX47+8/100</f>
        <v>5.9200000000000035</v>
      </c>
      <c r="BZ47" s="64">
        <f>BY47+8/100</f>
        <v>6.0000000000000036</v>
      </c>
      <c r="CA47" s="64">
        <f>BZ47+8/100</f>
        <v>6.0800000000000036</v>
      </c>
      <c r="CB47" s="64">
        <f>CA47+8/100</f>
        <v>6.1600000000000037</v>
      </c>
      <c r="CC47" s="64">
        <f>CB47+8/100</f>
        <v>6.2400000000000038</v>
      </c>
      <c r="CD47" s="64">
        <f>CC47+8/100</f>
        <v>6.3200000000000038</v>
      </c>
      <c r="CE47" s="64">
        <f>CD47+8/100</f>
        <v>6.4000000000000039</v>
      </c>
      <c r="CF47" s="64">
        <f>CE47+8/100</f>
        <v>6.480000000000004</v>
      </c>
      <c r="CG47" s="64">
        <f>CF47+8/100</f>
        <v>6.5600000000000041</v>
      </c>
      <c r="CH47" s="64">
        <f>CG47+8/100</f>
        <v>6.6400000000000041</v>
      </c>
      <c r="CI47" s="64">
        <f>CH47+8/100</f>
        <v>6.7200000000000042</v>
      </c>
      <c r="CJ47" s="64">
        <f>CI47+8/100</f>
        <v>6.8000000000000043</v>
      </c>
      <c r="CK47" s="64">
        <f>CJ47+8/100</f>
        <v>6.8800000000000043</v>
      </c>
      <c r="CL47" s="64">
        <f>CK47+8/100</f>
        <v>6.9600000000000044</v>
      </c>
      <c r="CM47" s="64">
        <f>CL47+8/100</f>
        <v>7.0400000000000045</v>
      </c>
      <c r="CN47" s="64">
        <f>CM47+8/100</f>
        <v>7.1200000000000045</v>
      </c>
      <c r="CO47" s="64">
        <f>CN47+8/100</f>
        <v>7.2000000000000046</v>
      </c>
      <c r="CP47" s="64">
        <f>CO47+8/100</f>
        <v>7.2800000000000047</v>
      </c>
      <c r="CQ47" s="64">
        <f>CP47+8/100</f>
        <v>7.3600000000000048</v>
      </c>
      <c r="CR47" s="64">
        <f>CQ47+8/100</f>
        <v>7.4400000000000048</v>
      </c>
      <c r="CS47" s="64">
        <f>CR47+8/100</f>
        <v>7.5200000000000049</v>
      </c>
      <c r="CT47" s="64">
        <f>CS47+8/100</f>
        <v>7.600000000000005</v>
      </c>
      <c r="CU47" s="64">
        <f>CT47+8/100</f>
        <v>7.680000000000005</v>
      </c>
      <c r="CV47" s="64">
        <f>CU47+8/100</f>
        <v>7.7600000000000051</v>
      </c>
      <c r="CW47" s="64">
        <f>CV47+8/100</f>
        <v>7.8400000000000052</v>
      </c>
      <c r="CX47" s="64">
        <f>CW47+8/100</f>
        <v>7.9200000000000053</v>
      </c>
      <c r="CY47" s="64">
        <f>CX47+8/100</f>
        <v>8.0000000000000053</v>
      </c>
      <c r="CZ47" s="2"/>
      <c r="DA47" s="2"/>
    </row>
    <row r="48" spans="2:105">
      <c r="B48" s="3" t="s">
        <v>47</v>
      </c>
      <c r="C48" s="71">
        <f t="shared" ref="C48:AH48" si="0">-RL1d*C47^3/6</f>
        <v>0</v>
      </c>
      <c r="D48" s="71">
        <f t="shared" si="0"/>
        <v>-1.6567466666666669E-3</v>
      </c>
      <c r="E48" s="71">
        <f t="shared" si="0"/>
        <v>-1.3253973333333335E-2</v>
      </c>
      <c r="F48" s="71">
        <f t="shared" si="0"/>
        <v>-4.4732159999999993E-2</v>
      </c>
      <c r="G48" s="71">
        <f t="shared" si="0"/>
        <v>-0.10603178666666668</v>
      </c>
      <c r="H48" s="71">
        <f t="shared" si="0"/>
        <v>-0.20709333333333338</v>
      </c>
      <c r="I48" s="71">
        <f t="shared" si="0"/>
        <v>-0.35785728000000011</v>
      </c>
      <c r="J48" s="71">
        <f t="shared" si="0"/>
        <v>-0.56826410666666682</v>
      </c>
      <c r="K48" s="71">
        <f t="shared" si="0"/>
        <v>-0.84825429333333346</v>
      </c>
      <c r="L48" s="71">
        <f t="shared" si="0"/>
        <v>-1.2077683199999998</v>
      </c>
      <c r="M48" s="71">
        <f t="shared" si="0"/>
        <v>-1.6567466666666661</v>
      </c>
      <c r="N48" s="71">
        <f t="shared" si="0"/>
        <v>-2.2051298133333321</v>
      </c>
      <c r="O48" s="71">
        <f t="shared" si="0"/>
        <v>-2.8628582399999991</v>
      </c>
      <c r="P48" s="71">
        <f t="shared" si="0"/>
        <v>-3.6398724266666647</v>
      </c>
      <c r="Q48" s="71">
        <f t="shared" si="0"/>
        <v>-4.546112853333331</v>
      </c>
      <c r="R48" s="71">
        <f t="shared" si="0"/>
        <v>-5.5915199999999992</v>
      </c>
      <c r="S48" s="71">
        <f t="shared" si="0"/>
        <v>-6.7860343466666677</v>
      </c>
      <c r="T48" s="71">
        <f t="shared" si="0"/>
        <v>-8.139596373333335</v>
      </c>
      <c r="U48" s="71">
        <f t="shared" si="0"/>
        <v>-9.6621465600000018</v>
      </c>
      <c r="V48" s="71">
        <f t="shared" si="0"/>
        <v>-11.363625386666671</v>
      </c>
      <c r="W48" s="71">
        <f t="shared" si="0"/>
        <v>-13.25397333333334</v>
      </c>
      <c r="X48" s="71">
        <f t="shared" si="0"/>
        <v>-15.343130880000011</v>
      </c>
      <c r="Y48" s="71">
        <f t="shared" si="0"/>
        <v>-17.641038506666678</v>
      </c>
      <c r="Z48" s="71">
        <f t="shared" si="0"/>
        <v>-20.157636693333352</v>
      </c>
      <c r="AA48" s="71">
        <f t="shared" si="0"/>
        <v>-22.902865920000021</v>
      </c>
      <c r="AB48" s="71">
        <f t="shared" si="0"/>
        <v>-25.886666666666684</v>
      </c>
      <c r="AC48" s="71">
        <f t="shared" si="0"/>
        <v>-29.118979413333349</v>
      </c>
      <c r="AD48" s="71">
        <f t="shared" si="0"/>
        <v>-32.609744640000024</v>
      </c>
      <c r="AE48" s="71">
        <f t="shared" si="0"/>
        <v>-36.368902826666691</v>
      </c>
      <c r="AF48" s="71">
        <f t="shared" si="0"/>
        <v>-40.40639445333337</v>
      </c>
      <c r="AG48" s="71">
        <f t="shared" si="0"/>
        <v>-44.732160000000043</v>
      </c>
      <c r="AH48" s="71">
        <f t="shared" si="0"/>
        <v>-49.356139946666723</v>
      </c>
      <c r="AI48" s="71">
        <f t="shared" ref="AI48:BN48" si="1">-RL1d*AI47^3/6</f>
        <v>-54.288274773333391</v>
      </c>
      <c r="AJ48" s="71">
        <f t="shared" si="1"/>
        <v>-59.538504960000061</v>
      </c>
      <c r="AK48" s="71">
        <f t="shared" si="1"/>
        <v>-65.116770986666737</v>
      </c>
      <c r="AL48" s="71">
        <f t="shared" si="1"/>
        <v>-71.033013333333415</v>
      </c>
      <c r="AM48" s="71">
        <f t="shared" si="1"/>
        <v>-77.2971724800001</v>
      </c>
      <c r="AN48" s="71">
        <f t="shared" si="1"/>
        <v>-83.919188906666776</v>
      </c>
      <c r="AO48" s="71">
        <f t="shared" si="1"/>
        <v>-90.909003093333467</v>
      </c>
      <c r="AP48" s="71">
        <f t="shared" si="1"/>
        <v>-98.276555520000144</v>
      </c>
      <c r="AQ48" s="71">
        <f t="shared" si="1"/>
        <v>-106.0317866666668</v>
      </c>
      <c r="AR48" s="71">
        <f t="shared" si="1"/>
        <v>-114.1846370133335</v>
      </c>
      <c r="AS48" s="71">
        <f t="shared" si="1"/>
        <v>-122.74504704000019</v>
      </c>
      <c r="AT48" s="71">
        <f t="shared" si="1"/>
        <v>-131.72295722666686</v>
      </c>
      <c r="AU48" s="71">
        <f t="shared" si="1"/>
        <v>-141.12830805333354</v>
      </c>
      <c r="AV48" s="71">
        <f t="shared" si="1"/>
        <v>-150.97104000000022</v>
      </c>
      <c r="AW48" s="71">
        <f t="shared" si="1"/>
        <v>-161.26109354666693</v>
      </c>
      <c r="AX48" s="71">
        <f t="shared" si="1"/>
        <v>-172.0084091733336</v>
      </c>
      <c r="AY48" s="71">
        <f t="shared" si="1"/>
        <v>-183.22292736000028</v>
      </c>
      <c r="AZ48" s="71">
        <f t="shared" si="1"/>
        <v>-194.91458858666695</v>
      </c>
      <c r="BA48" s="71">
        <f t="shared" si="1"/>
        <v>-207.09333333333359</v>
      </c>
      <c r="BB48" s="71">
        <f t="shared" si="1"/>
        <v>-219.76910208000029</v>
      </c>
      <c r="BC48" s="71">
        <f t="shared" si="1"/>
        <v>-232.95183530666699</v>
      </c>
      <c r="BD48" s="71">
        <f t="shared" si="1"/>
        <v>-246.65147349333367</v>
      </c>
      <c r="BE48" s="71">
        <f t="shared" si="1"/>
        <v>-260.87795712000042</v>
      </c>
      <c r="BF48" s="71">
        <f t="shared" si="1"/>
        <v>-275.64122666666702</v>
      </c>
      <c r="BG48" s="71">
        <f t="shared" si="1"/>
        <v>-290.95122261333375</v>
      </c>
      <c r="BH48" s="71">
        <f t="shared" si="1"/>
        <v>-306.81788544000045</v>
      </c>
      <c r="BI48" s="71">
        <f t="shared" si="1"/>
        <v>-323.25115562666718</v>
      </c>
      <c r="BJ48" s="71">
        <f t="shared" si="1"/>
        <v>-340.26097365333385</v>
      </c>
      <c r="BK48" s="71">
        <f t="shared" si="1"/>
        <v>-357.85728000000057</v>
      </c>
      <c r="BL48" s="71">
        <f t="shared" si="1"/>
        <v>-376.05001514666719</v>
      </c>
      <c r="BM48" s="71">
        <f t="shared" si="1"/>
        <v>-394.84911957333389</v>
      </c>
      <c r="BN48" s="71">
        <f t="shared" si="1"/>
        <v>-414.26453376000063</v>
      </c>
      <c r="BO48" s="71">
        <f t="shared" ref="BO48:CT48" si="2">-RL1d*BO47^3/6</f>
        <v>-434.30619818666736</v>
      </c>
      <c r="BP48" s="71">
        <f t="shared" si="2"/>
        <v>-454.98405333333403</v>
      </c>
      <c r="BQ48" s="71">
        <f t="shared" si="2"/>
        <v>-476.30803968000077</v>
      </c>
      <c r="BR48" s="71">
        <f t="shared" si="2"/>
        <v>-498.28809770666749</v>
      </c>
      <c r="BS48" s="71">
        <f t="shared" si="2"/>
        <v>-520.93416789333423</v>
      </c>
      <c r="BT48" s="71">
        <f t="shared" si="2"/>
        <v>-544.25619072000086</v>
      </c>
      <c r="BU48" s="71">
        <f t="shared" si="2"/>
        <v>-568.26410666666754</v>
      </c>
      <c r="BV48" s="71">
        <f t="shared" si="2"/>
        <v>-592.96785621333436</v>
      </c>
      <c r="BW48" s="71">
        <f t="shared" si="2"/>
        <v>-618.37737984000114</v>
      </c>
      <c r="BX48" s="71">
        <f t="shared" si="2"/>
        <v>-644.50261802666773</v>
      </c>
      <c r="BY48" s="71">
        <f t="shared" si="2"/>
        <v>-671.35351125333443</v>
      </c>
      <c r="BZ48" s="71">
        <f t="shared" si="2"/>
        <v>-698.94000000000131</v>
      </c>
      <c r="CA48" s="71">
        <f t="shared" si="2"/>
        <v>-727.27202474666785</v>
      </c>
      <c r="CB48" s="71">
        <f t="shared" si="2"/>
        <v>-756.35952597333471</v>
      </c>
      <c r="CC48" s="71">
        <f t="shared" si="2"/>
        <v>-786.21244416000138</v>
      </c>
      <c r="CD48" s="71">
        <f t="shared" si="2"/>
        <v>-816.84071978666816</v>
      </c>
      <c r="CE48" s="71">
        <f t="shared" si="2"/>
        <v>-848.25429333333477</v>
      </c>
      <c r="CF48" s="71">
        <f t="shared" si="2"/>
        <v>-880.46310528000151</v>
      </c>
      <c r="CG48" s="71">
        <f t="shared" si="2"/>
        <v>-913.47709610666823</v>
      </c>
      <c r="CH48" s="71">
        <f t="shared" si="2"/>
        <v>-947.30620629333498</v>
      </c>
      <c r="CI48" s="71">
        <f t="shared" si="2"/>
        <v>-981.96037632000173</v>
      </c>
      <c r="CJ48" s="71">
        <f t="shared" si="2"/>
        <v>-1017.4495466666685</v>
      </c>
      <c r="CK48" s="71">
        <f t="shared" si="2"/>
        <v>-1053.7836578133354</v>
      </c>
      <c r="CL48" s="71">
        <f t="shared" si="2"/>
        <v>-1090.9726502400019</v>
      </c>
      <c r="CM48" s="71">
        <f t="shared" si="2"/>
        <v>-1129.0264644266688</v>
      </c>
      <c r="CN48" s="71">
        <f t="shared" si="2"/>
        <v>-1167.9550408533357</v>
      </c>
      <c r="CO48" s="71">
        <f t="shared" si="2"/>
        <v>-1207.7683200000022</v>
      </c>
      <c r="CP48" s="71">
        <f t="shared" si="2"/>
        <v>-1248.4762423466689</v>
      </c>
      <c r="CQ48" s="71">
        <f t="shared" si="2"/>
        <v>-1290.0887483733356</v>
      </c>
      <c r="CR48" s="71">
        <f t="shared" si="2"/>
        <v>-1332.6157785600024</v>
      </c>
      <c r="CS48" s="71">
        <f t="shared" si="2"/>
        <v>-1376.0672733866693</v>
      </c>
      <c r="CT48" s="71">
        <f t="shared" si="2"/>
        <v>-1420.4531733333361</v>
      </c>
      <c r="CU48" s="71">
        <f>-RL1d*CU47^3/6</f>
        <v>-1465.7834188800027</v>
      </c>
      <c r="CV48" s="71">
        <f>-RL1d*CV47^3/6</f>
        <v>-1512.0679505066698</v>
      </c>
      <c r="CW48" s="71">
        <f>-RL1d*CW47^3/6</f>
        <v>-1559.3167086933363</v>
      </c>
      <c r="CX48" s="71">
        <f>-RL1d*CX47^3/6</f>
        <v>-1607.5396339200031</v>
      </c>
      <c r="CY48" s="71">
        <f>-RL1d*CY47^3/6</f>
        <v>-1656.7466666666699</v>
      </c>
      <c r="CZ48" s="2"/>
      <c r="DA48" s="2"/>
    </row>
    <row r="49" spans="2:105">
      <c r="B49" s="3" t="s">
        <v>24</v>
      </c>
      <c r="C49" s="71">
        <f t="shared" ref="C49:AH49" si="3">UDL1d*C47^4/24</f>
        <v>0</v>
      </c>
      <c r="D49" s="71">
        <f t="shared" si="3"/>
        <v>5.9903999999999994E-6</v>
      </c>
      <c r="E49" s="71">
        <f t="shared" si="3"/>
        <v>9.5846399999999991E-5</v>
      </c>
      <c r="F49" s="71">
        <f t="shared" si="3"/>
        <v>4.8522239999999997E-4</v>
      </c>
      <c r="G49" s="71">
        <f t="shared" si="3"/>
        <v>1.5335423999999999E-3</v>
      </c>
      <c r="H49" s="71">
        <f t="shared" si="3"/>
        <v>3.7440000000000012E-3</v>
      </c>
      <c r="I49" s="71">
        <f t="shared" si="3"/>
        <v>7.763558400000003E-3</v>
      </c>
      <c r="J49" s="71">
        <f t="shared" si="3"/>
        <v>1.4382950400000002E-2</v>
      </c>
      <c r="K49" s="71">
        <f t="shared" si="3"/>
        <v>2.4536678399999998E-2</v>
      </c>
      <c r="L49" s="71">
        <f t="shared" si="3"/>
        <v>3.9303014399999996E-2</v>
      </c>
      <c r="M49" s="71">
        <f t="shared" si="3"/>
        <v>5.9903999999999978E-2</v>
      </c>
      <c r="N49" s="71">
        <f t="shared" si="3"/>
        <v>8.7705446399999956E-2</v>
      </c>
      <c r="O49" s="71">
        <f t="shared" si="3"/>
        <v>0.12421693439999992</v>
      </c>
      <c r="P49" s="71">
        <f t="shared" si="3"/>
        <v>0.17109181439999988</v>
      </c>
      <c r="Q49" s="71">
        <f t="shared" si="3"/>
        <v>0.23012720639999987</v>
      </c>
      <c r="R49" s="71">
        <f t="shared" si="3"/>
        <v>0.30326399999999998</v>
      </c>
      <c r="S49" s="71">
        <f t="shared" si="3"/>
        <v>0.39258685439999996</v>
      </c>
      <c r="T49" s="71">
        <f t="shared" si="3"/>
        <v>0.50032419840000009</v>
      </c>
      <c r="U49" s="71">
        <f t="shared" si="3"/>
        <v>0.62884823040000015</v>
      </c>
      <c r="V49" s="71">
        <f t="shared" si="3"/>
        <v>0.78067491840000047</v>
      </c>
      <c r="W49" s="71">
        <f t="shared" si="3"/>
        <v>0.95846400000000065</v>
      </c>
      <c r="X49" s="71">
        <f t="shared" si="3"/>
        <v>1.165018982400001</v>
      </c>
      <c r="Y49" s="71">
        <f t="shared" si="3"/>
        <v>1.4032871424000015</v>
      </c>
      <c r="Z49" s="71">
        <f t="shared" si="3"/>
        <v>1.6763595264000017</v>
      </c>
      <c r="AA49" s="71">
        <f t="shared" si="3"/>
        <v>1.9874709504000021</v>
      </c>
      <c r="AB49" s="71">
        <f t="shared" si="3"/>
        <v>2.3400000000000021</v>
      </c>
      <c r="AC49" s="71">
        <f t="shared" si="3"/>
        <v>2.7374690304000029</v>
      </c>
      <c r="AD49" s="71">
        <f t="shared" si="3"/>
        <v>3.1835441664000026</v>
      </c>
      <c r="AE49" s="71">
        <f t="shared" si="3"/>
        <v>3.6820353024000032</v>
      </c>
      <c r="AF49" s="71">
        <f t="shared" si="3"/>
        <v>4.2368961024000047</v>
      </c>
      <c r="AG49" s="71">
        <f t="shared" si="3"/>
        <v>4.8522240000000068</v>
      </c>
      <c r="AH49" s="71">
        <f t="shared" si="3"/>
        <v>5.5322601984000075</v>
      </c>
      <c r="AI49" s="71">
        <f t="shared" ref="AI49:BN49" si="4">UDL1d*AI47^4/24</f>
        <v>6.2813896704000092</v>
      </c>
      <c r="AJ49" s="71">
        <f t="shared" si="4"/>
        <v>7.1041411584000107</v>
      </c>
      <c r="AK49" s="71">
        <f t="shared" si="4"/>
        <v>8.005187174400012</v>
      </c>
      <c r="AL49" s="71">
        <f t="shared" si="4"/>
        <v>8.9893440000000133</v>
      </c>
      <c r="AM49" s="71">
        <f t="shared" si="4"/>
        <v>10.061571686400015</v>
      </c>
      <c r="AN49" s="71">
        <f t="shared" si="4"/>
        <v>11.226974054400022</v>
      </c>
      <c r="AO49" s="71">
        <f t="shared" si="4"/>
        <v>12.490798694400025</v>
      </c>
      <c r="AP49" s="71">
        <f t="shared" si="4"/>
        <v>13.858436966400028</v>
      </c>
      <c r="AQ49" s="71">
        <f t="shared" si="4"/>
        <v>15.335424000000026</v>
      </c>
      <c r="AR49" s="71">
        <f t="shared" si="4"/>
        <v>16.927438694400031</v>
      </c>
      <c r="AS49" s="71">
        <f t="shared" si="4"/>
        <v>18.640303718400034</v>
      </c>
      <c r="AT49" s="71">
        <f t="shared" si="4"/>
        <v>20.479985510400038</v>
      </c>
      <c r="AU49" s="71">
        <f t="shared" si="4"/>
        <v>22.452594278400042</v>
      </c>
      <c r="AV49" s="71">
        <f t="shared" si="4"/>
        <v>24.56438400000005</v>
      </c>
      <c r="AW49" s="71">
        <f t="shared" si="4"/>
        <v>26.821752422400056</v>
      </c>
      <c r="AX49" s="71">
        <f t="shared" si="4"/>
        <v>29.231241062400063</v>
      </c>
      <c r="AY49" s="71">
        <f t="shared" si="4"/>
        <v>31.799535206400066</v>
      </c>
      <c r="AZ49" s="71">
        <f t="shared" si="4"/>
        <v>34.533463910400073</v>
      </c>
      <c r="BA49" s="71">
        <f t="shared" si="4"/>
        <v>37.440000000000062</v>
      </c>
      <c r="BB49" s="71">
        <f t="shared" si="4"/>
        <v>40.526260070400063</v>
      </c>
      <c r="BC49" s="71">
        <f t="shared" si="4"/>
        <v>43.799504486400082</v>
      </c>
      <c r="BD49" s="71">
        <f t="shared" si="4"/>
        <v>47.26713738240008</v>
      </c>
      <c r="BE49" s="71">
        <f t="shared" si="4"/>
        <v>50.936706662400098</v>
      </c>
      <c r="BF49" s="71">
        <f t="shared" si="4"/>
        <v>54.815904000000096</v>
      </c>
      <c r="BG49" s="71">
        <f t="shared" si="4"/>
        <v>58.912564838400122</v>
      </c>
      <c r="BH49" s="71">
        <f t="shared" si="4"/>
        <v>63.23466839040011</v>
      </c>
      <c r="BI49" s="71">
        <f t="shared" si="4"/>
        <v>67.790337638400146</v>
      </c>
      <c r="BJ49" s="71">
        <f t="shared" si="4"/>
        <v>72.587839334400144</v>
      </c>
      <c r="BK49" s="71">
        <f t="shared" si="4"/>
        <v>77.635584000000151</v>
      </c>
      <c r="BL49" s="71">
        <f t="shared" si="4"/>
        <v>82.942125926400166</v>
      </c>
      <c r="BM49" s="71">
        <f t="shared" si="4"/>
        <v>88.516163174400177</v>
      </c>
      <c r="BN49" s="71">
        <f t="shared" si="4"/>
        <v>94.366537574400184</v>
      </c>
      <c r="BO49" s="71">
        <f t="shared" ref="BO49:CY49" si="5">UDL1d*BO47^4/24</f>
        <v>100.50223472640023</v>
      </c>
      <c r="BP49" s="71">
        <f t="shared" si="5"/>
        <v>106.93238400000024</v>
      </c>
      <c r="BQ49" s="71">
        <f t="shared" si="5"/>
        <v>113.66625853440024</v>
      </c>
      <c r="BR49" s="71">
        <f t="shared" si="5"/>
        <v>120.71327523840027</v>
      </c>
      <c r="BS49" s="71">
        <f t="shared" si="5"/>
        <v>128.08299479040028</v>
      </c>
      <c r="BT49" s="71">
        <f t="shared" si="5"/>
        <v>135.78512163840028</v>
      </c>
      <c r="BU49" s="71">
        <f t="shared" si="5"/>
        <v>143.8295040000003</v>
      </c>
      <c r="BV49" s="71">
        <f t="shared" si="5"/>
        <v>152.2261338624003</v>
      </c>
      <c r="BW49" s="71">
        <f t="shared" si="5"/>
        <v>160.98514698240038</v>
      </c>
      <c r="BX49" s="71">
        <f t="shared" si="5"/>
        <v>170.11682288640037</v>
      </c>
      <c r="BY49" s="71">
        <f t="shared" si="5"/>
        <v>179.63158487040042</v>
      </c>
      <c r="BZ49" s="71">
        <f t="shared" si="5"/>
        <v>189.54000000000045</v>
      </c>
      <c r="CA49" s="71">
        <f t="shared" si="5"/>
        <v>199.85277911040043</v>
      </c>
      <c r="CB49" s="71">
        <f t="shared" si="5"/>
        <v>210.58077680640054</v>
      </c>
      <c r="CC49" s="71">
        <f t="shared" si="5"/>
        <v>221.73499146240047</v>
      </c>
      <c r="CD49" s="71">
        <f t="shared" si="5"/>
        <v>233.32656522240055</v>
      </c>
      <c r="CE49" s="71">
        <f t="shared" si="5"/>
        <v>245.36678400000059</v>
      </c>
      <c r="CF49" s="71">
        <f t="shared" si="5"/>
        <v>257.86707747840063</v>
      </c>
      <c r="CG49" s="71">
        <f t="shared" si="5"/>
        <v>270.83901911040061</v>
      </c>
      <c r="CH49" s="71">
        <f t="shared" si="5"/>
        <v>284.29432611840065</v>
      </c>
      <c r="CI49" s="71">
        <f t="shared" si="5"/>
        <v>298.24485949440071</v>
      </c>
      <c r="CJ49" s="71">
        <f t="shared" si="5"/>
        <v>312.70262400000075</v>
      </c>
      <c r="CK49" s="71">
        <f t="shared" si="5"/>
        <v>327.67976816640083</v>
      </c>
      <c r="CL49" s="71">
        <f t="shared" si="5"/>
        <v>343.18858429440075</v>
      </c>
      <c r="CM49" s="71">
        <f t="shared" si="5"/>
        <v>359.2415084544009</v>
      </c>
      <c r="CN49" s="71">
        <f t="shared" si="5"/>
        <v>375.85112048640099</v>
      </c>
      <c r="CO49" s="71">
        <f t="shared" si="5"/>
        <v>393.03014400000097</v>
      </c>
      <c r="CP49" s="71">
        <f t="shared" si="5"/>
        <v>410.791446374401</v>
      </c>
      <c r="CQ49" s="71">
        <f t="shared" si="5"/>
        <v>429.14803875840101</v>
      </c>
      <c r="CR49" s="71">
        <f t="shared" si="5"/>
        <v>448.11307607040112</v>
      </c>
      <c r="CS49" s="71">
        <f t="shared" si="5"/>
        <v>467.69985699840117</v>
      </c>
      <c r="CT49" s="71">
        <f t="shared" si="5"/>
        <v>487.92182400000121</v>
      </c>
      <c r="CU49" s="71">
        <f t="shared" si="5"/>
        <v>508.79256330240128</v>
      </c>
      <c r="CV49" s="71">
        <f t="shared" si="5"/>
        <v>530.3258049024015</v>
      </c>
      <c r="CW49" s="71">
        <f t="shared" si="5"/>
        <v>552.53542256640139</v>
      </c>
      <c r="CX49" s="71">
        <f t="shared" si="5"/>
        <v>575.43543383040151</v>
      </c>
      <c r="CY49" s="71">
        <f t="shared" si="5"/>
        <v>599.04000000000156</v>
      </c>
      <c r="CZ49" s="2"/>
      <c r="DA49" s="2"/>
    </row>
    <row r="50" spans="2:105">
      <c r="B50" s="3" t="s">
        <v>277</v>
      </c>
      <c r="C50" s="71">
        <f t="shared" ref="C50:AH50" si="6">IF(PosPUDL1&lt;C47,PUDL1d*(C47-PosPUDL1)^4/24,0)</f>
        <v>0</v>
      </c>
      <c r="D50" s="71">
        <f t="shared" si="6"/>
        <v>0</v>
      </c>
      <c r="E50" s="71">
        <f t="shared" si="6"/>
        <v>0</v>
      </c>
      <c r="F50" s="71">
        <f t="shared" si="6"/>
        <v>0</v>
      </c>
      <c r="G50" s="71">
        <f t="shared" si="6"/>
        <v>0</v>
      </c>
      <c r="H50" s="71">
        <f t="shared" si="6"/>
        <v>0</v>
      </c>
      <c r="I50" s="71">
        <f t="shared" si="6"/>
        <v>0</v>
      </c>
      <c r="J50" s="71">
        <f t="shared" si="6"/>
        <v>0</v>
      </c>
      <c r="K50" s="71">
        <f t="shared" si="6"/>
        <v>0</v>
      </c>
      <c r="L50" s="71">
        <f t="shared" si="6"/>
        <v>0</v>
      </c>
      <c r="M50" s="71">
        <f t="shared" si="6"/>
        <v>0</v>
      </c>
      <c r="N50" s="71">
        <f t="shared" si="6"/>
        <v>0</v>
      </c>
      <c r="O50" s="71">
        <f t="shared" si="6"/>
        <v>0</v>
      </c>
      <c r="P50" s="71">
        <f t="shared" si="6"/>
        <v>2.1333333333332934E-7</v>
      </c>
      <c r="Q50" s="71">
        <f t="shared" si="6"/>
        <v>1.7279999999999933E-5</v>
      </c>
      <c r="R50" s="71">
        <f t="shared" si="6"/>
        <v>1.333333333333332E-4</v>
      </c>
      <c r="S50" s="71">
        <f t="shared" si="6"/>
        <v>5.1221333333333345E-4</v>
      </c>
      <c r="T50" s="71">
        <f t="shared" si="6"/>
        <v>1.3996800000000015E-3</v>
      </c>
      <c r="U50" s="71">
        <f t="shared" si="6"/>
        <v>3.1234133333333386E-3</v>
      </c>
      <c r="V50" s="71">
        <f t="shared" si="6"/>
        <v>6.0930133333333449E-3</v>
      </c>
      <c r="W50" s="71">
        <f t="shared" si="6"/>
        <v>1.0800000000000023E-2</v>
      </c>
      <c r="X50" s="71">
        <f t="shared" si="6"/>
        <v>1.7817813333333373E-2</v>
      </c>
      <c r="Y50" s="71">
        <f t="shared" si="6"/>
        <v>2.7801813333333397E-2</v>
      </c>
      <c r="Z50" s="71">
        <f t="shared" si="6"/>
        <v>4.1489280000000107E-2</v>
      </c>
      <c r="AA50" s="71">
        <f t="shared" si="6"/>
        <v>5.9699413333333479E-2</v>
      </c>
      <c r="AB50" s="71">
        <f t="shared" si="6"/>
        <v>8.3333333333333481E-2</v>
      </c>
      <c r="AC50" s="71">
        <f t="shared" si="6"/>
        <v>0.11337408000000022</v>
      </c>
      <c r="AD50" s="71">
        <f t="shared" si="6"/>
        <v>0.15088661333333367</v>
      </c>
      <c r="AE50" s="71">
        <f t="shared" si="6"/>
        <v>0.19701781333333376</v>
      </c>
      <c r="AF50" s="71">
        <f t="shared" si="6"/>
        <v>0.25299648000000058</v>
      </c>
      <c r="AG50" s="71">
        <f t="shared" si="6"/>
        <v>0.32013333333333405</v>
      </c>
      <c r="AH50" s="71">
        <f t="shared" si="6"/>
        <v>0.39982101333333425</v>
      </c>
      <c r="AI50" s="71">
        <f t="shared" ref="AI50:BN50" si="7">IF(PosPUDL1&lt;AI47,PUDL1d*(AI47-PosPUDL1)^4/24,0)</f>
        <v>0.49353408000000115</v>
      </c>
      <c r="AJ50" s="71">
        <f t="shared" si="7"/>
        <v>0.60282901333333472</v>
      </c>
      <c r="AK50" s="71">
        <f t="shared" si="7"/>
        <v>0.72934421333333521</v>
      </c>
      <c r="AL50" s="71">
        <f t="shared" si="7"/>
        <v>0.87480000000000224</v>
      </c>
      <c r="AM50" s="71">
        <f t="shared" si="7"/>
        <v>1.040998613333336</v>
      </c>
      <c r="AN50" s="71">
        <f t="shared" si="7"/>
        <v>1.2298242133333366</v>
      </c>
      <c r="AO50" s="71">
        <f t="shared" si="7"/>
        <v>1.4432428800000039</v>
      </c>
      <c r="AP50" s="71">
        <f t="shared" si="7"/>
        <v>1.683302613333338</v>
      </c>
      <c r="AQ50" s="71">
        <f t="shared" si="7"/>
        <v>1.9521333333333388</v>
      </c>
      <c r="AR50" s="71">
        <f t="shared" si="7"/>
        <v>2.2519468800000064</v>
      </c>
      <c r="AS50" s="71">
        <f t="shared" si="7"/>
        <v>2.58503701333334</v>
      </c>
      <c r="AT50" s="71">
        <f t="shared" si="7"/>
        <v>2.9537794133333417</v>
      </c>
      <c r="AU50" s="71">
        <f t="shared" si="7"/>
        <v>3.3606316800000098</v>
      </c>
      <c r="AV50" s="71">
        <f t="shared" si="7"/>
        <v>3.8081333333333443</v>
      </c>
      <c r="AW50" s="71">
        <f t="shared" si="7"/>
        <v>4.298905813333346</v>
      </c>
      <c r="AX50" s="71">
        <f t="shared" si="7"/>
        <v>4.8356524800000136</v>
      </c>
      <c r="AY50" s="71">
        <f t="shared" si="7"/>
        <v>5.4211586133333505</v>
      </c>
      <c r="AZ50" s="71">
        <f t="shared" si="7"/>
        <v>6.0582914133333512</v>
      </c>
      <c r="BA50" s="71">
        <f t="shared" si="7"/>
        <v>6.7500000000000169</v>
      </c>
      <c r="BB50" s="71">
        <f t="shared" si="7"/>
        <v>7.4993154133333526</v>
      </c>
      <c r="BC50" s="71">
        <f t="shared" si="7"/>
        <v>8.3093506133333541</v>
      </c>
      <c r="BD50" s="71">
        <f t="shared" si="7"/>
        <v>9.1833004800000229</v>
      </c>
      <c r="BE50" s="71">
        <f t="shared" si="7"/>
        <v>10.124441813333357</v>
      </c>
      <c r="BF50" s="71">
        <f t="shared" si="7"/>
        <v>11.136133333333362</v>
      </c>
      <c r="BG50" s="71">
        <f t="shared" si="7"/>
        <v>12.221815680000029</v>
      </c>
      <c r="BH50" s="71">
        <f t="shared" si="7"/>
        <v>13.385011413333368</v>
      </c>
      <c r="BI50" s="71">
        <f t="shared" si="7"/>
        <v>14.629325013333371</v>
      </c>
      <c r="BJ50" s="71">
        <f t="shared" si="7"/>
        <v>15.958442880000041</v>
      </c>
      <c r="BK50" s="71">
        <f t="shared" si="7"/>
        <v>17.376133333333378</v>
      </c>
      <c r="BL50" s="71">
        <f t="shared" si="7"/>
        <v>18.886246613333388</v>
      </c>
      <c r="BM50" s="71">
        <f t="shared" si="7"/>
        <v>20.492714880000054</v>
      </c>
      <c r="BN50" s="71">
        <f t="shared" si="7"/>
        <v>22.199552213333391</v>
      </c>
      <c r="BO50" s="71">
        <f t="shared" ref="BO50:CY50" si="8">IF(PosPUDL1&lt;BO47,PUDL1d*(BO47-PosPUDL1)^4/24,0)</f>
        <v>24.010854613333404</v>
      </c>
      <c r="BP50" s="71">
        <f t="shared" si="8"/>
        <v>25.930800000000076</v>
      </c>
      <c r="BQ50" s="71">
        <f t="shared" si="8"/>
        <v>27.963648213333411</v>
      </c>
      <c r="BR50" s="71">
        <f t="shared" si="8"/>
        <v>30.113741013333421</v>
      </c>
      <c r="BS50" s="71">
        <f t="shared" si="8"/>
        <v>32.385502080000087</v>
      </c>
      <c r="BT50" s="71">
        <f t="shared" si="8"/>
        <v>34.783437013333426</v>
      </c>
      <c r="BU50" s="71">
        <f t="shared" si="8"/>
        <v>37.312133333333435</v>
      </c>
      <c r="BV50" s="71">
        <f t="shared" si="8"/>
        <v>39.976260480000114</v>
      </c>
      <c r="BW50" s="71">
        <f t="shared" si="8"/>
        <v>42.78056981333345</v>
      </c>
      <c r="BX50" s="71">
        <f t="shared" si="8"/>
        <v>45.72989461333345</v>
      </c>
      <c r="BY50" s="71">
        <f t="shared" si="8"/>
        <v>48.82915008000014</v>
      </c>
      <c r="BZ50" s="71">
        <f t="shared" si="8"/>
        <v>52.083333333333485</v>
      </c>
      <c r="CA50" s="71">
        <f t="shared" si="8"/>
        <v>55.497523413333482</v>
      </c>
      <c r="CB50" s="71">
        <f t="shared" si="8"/>
        <v>59.076881280000173</v>
      </c>
      <c r="CC50" s="71">
        <f t="shared" si="8"/>
        <v>62.826649813333511</v>
      </c>
      <c r="CD50" s="71">
        <f t="shared" si="8"/>
        <v>66.752153813333521</v>
      </c>
      <c r="CE50" s="71">
        <f t="shared" si="8"/>
        <v>70.858800000000215</v>
      </c>
      <c r="CF50" s="71">
        <f t="shared" si="8"/>
        <v>75.152077013333539</v>
      </c>
      <c r="CG50" s="71">
        <f t="shared" si="8"/>
        <v>79.637555413333573</v>
      </c>
      <c r="CH50" s="71">
        <f t="shared" si="8"/>
        <v>84.32088768000024</v>
      </c>
      <c r="CI50" s="71">
        <f t="shared" si="8"/>
        <v>89.207808213333578</v>
      </c>
      <c r="CJ50" s="71">
        <f t="shared" si="8"/>
        <v>94.30413333333361</v>
      </c>
      <c r="CK50" s="71">
        <f t="shared" si="8"/>
        <v>99.615761280000314</v>
      </c>
      <c r="CL50" s="71">
        <f t="shared" si="8"/>
        <v>105.14867221333363</v>
      </c>
      <c r="CM50" s="71">
        <f t="shared" si="8"/>
        <v>110.90892821333368</v>
      </c>
      <c r="CN50" s="71">
        <f t="shared" si="8"/>
        <v>116.90267328000034</v>
      </c>
      <c r="CO50" s="71">
        <f t="shared" si="8"/>
        <v>123.13613333333369</v>
      </c>
      <c r="CP50" s="71">
        <f t="shared" si="8"/>
        <v>129.61561621333371</v>
      </c>
      <c r="CQ50" s="71">
        <f t="shared" si="8"/>
        <v>136.34751168000039</v>
      </c>
      <c r="CR50" s="71">
        <f t="shared" si="8"/>
        <v>143.33829141333376</v>
      </c>
      <c r="CS50" s="71">
        <f t="shared" si="8"/>
        <v>150.59450901333375</v>
      </c>
      <c r="CT50" s="71">
        <f t="shared" si="8"/>
        <v>158.12280000000047</v>
      </c>
      <c r="CU50" s="71">
        <f t="shared" si="8"/>
        <v>165.92988181333385</v>
      </c>
      <c r="CV50" s="71">
        <f t="shared" si="8"/>
        <v>174.02255381333387</v>
      </c>
      <c r="CW50" s="71">
        <f t="shared" si="8"/>
        <v>182.40769728000058</v>
      </c>
      <c r="CX50" s="71">
        <f t="shared" si="8"/>
        <v>191.09227541333391</v>
      </c>
      <c r="CY50" s="71">
        <f t="shared" si="8"/>
        <v>200.08333333333391</v>
      </c>
      <c r="CZ50" s="2"/>
      <c r="DA50" s="2"/>
    </row>
    <row r="51" spans="2:105">
      <c r="B51" s="3" t="s">
        <v>279</v>
      </c>
      <c r="C51" s="71">
        <f>-IF(C47&gt;(PosPUDL1+3),PUDL1d*(C47-PosPUDL1-3)^4/24,0)</f>
        <v>0</v>
      </c>
      <c r="D51" s="71">
        <f>-IF(D47&gt;(PosPUDL1+3),PUDL1d*(D47-PosPUDL1-3)^4/24,0)</f>
        <v>0</v>
      </c>
      <c r="E51" s="71">
        <f>-IF(E47&gt;(PosPUDL1+3),PUDL1d*(E47-PosPUDL1-3)^4/24,0)</f>
        <v>0</v>
      </c>
      <c r="F51" s="71">
        <f>-IF(F47&gt;(PosPUDL1+3),PUDL1d*(F47-PosPUDL1-3)^4/24,0)</f>
        <v>0</v>
      </c>
      <c r="G51" s="71">
        <f>-IF(G47&gt;(PosPUDL1+3),PUDL1d*(G47-PosPUDL1-3)^4/24,0)</f>
        <v>0</v>
      </c>
      <c r="H51" s="71">
        <f>-IF(H47&gt;(PosPUDL1+3),PUDL1d*(H47-PosPUDL1-3)^4/24,0)</f>
        <v>0</v>
      </c>
      <c r="I51" s="71">
        <f>-IF(I47&gt;(PosPUDL1+3),PUDL1d*(I47-PosPUDL1-3)^4/24,0)</f>
        <v>0</v>
      </c>
      <c r="J51" s="71">
        <f>-IF(J47&gt;(PosPUDL1+3),PUDL1d*(J47-PosPUDL1-3)^4/24,0)</f>
        <v>0</v>
      </c>
      <c r="K51" s="71">
        <f>-IF(K47&gt;(PosPUDL1+3),PUDL1d*(K47-PosPUDL1-3)^4/24,0)</f>
        <v>0</v>
      </c>
      <c r="L51" s="71">
        <f>-IF(L47&gt;(PosPUDL1+3),PUDL1d*(L47-PosPUDL1-3)^4/24,0)</f>
        <v>0</v>
      </c>
      <c r="M51" s="71">
        <f>-IF(M47&gt;(PosPUDL1+3),PUDL1d*(M47-PosPUDL1-3)^4/24,0)</f>
        <v>0</v>
      </c>
      <c r="N51" s="71">
        <f>-IF(N47&gt;(PosPUDL1+3),PUDL1d*(N47-PosPUDL1-3)^4/24,0)</f>
        <v>0</v>
      </c>
      <c r="O51" s="71">
        <f>-IF(O47&gt;(PosPUDL1+3),PUDL1d*(O47-PosPUDL1-3)^4/24,0)</f>
        <v>0</v>
      </c>
      <c r="P51" s="71">
        <f>-IF(P47&gt;(PosPUDL1+3),PUDL1d*(P47-PosPUDL1-3)^4/24,0)</f>
        <v>0</v>
      </c>
      <c r="Q51" s="71">
        <f>-IF(Q47&gt;(PosPUDL1+3),PUDL1d*(Q47-PosPUDL1-3)^4/24,0)</f>
        <v>0</v>
      </c>
      <c r="R51" s="71">
        <f>-IF(R47&gt;(PosPUDL1+3),PUDL1d*(R47-PosPUDL1-3)^4/24,0)</f>
        <v>0</v>
      </c>
      <c r="S51" s="71">
        <f>-IF(S47&gt;(PosPUDL1+3),PUDL1d*(S47-PosPUDL1-3)^4/24,0)</f>
        <v>0</v>
      </c>
      <c r="T51" s="71">
        <f>-IF(T47&gt;(PosPUDL1+3),PUDL1d*(T47-PosPUDL1-3)^4/24,0)</f>
        <v>0</v>
      </c>
      <c r="U51" s="71">
        <f>-IF(U47&gt;(PosPUDL1+3),PUDL1d*(U47-PosPUDL1-3)^4/24,0)</f>
        <v>0</v>
      </c>
      <c r="V51" s="71">
        <f>-IF(V47&gt;(PosPUDL1+3),PUDL1d*(V47-PosPUDL1-3)^4/24,0)</f>
        <v>0</v>
      </c>
      <c r="W51" s="71">
        <f>-IF(W47&gt;(PosPUDL1+3),PUDL1d*(W47-PosPUDL1-3)^4/24,0)</f>
        <v>0</v>
      </c>
      <c r="X51" s="71">
        <f>-IF(X47&gt;(PosPUDL1+3),PUDL1d*(X47-PosPUDL1-3)^4/24,0)</f>
        <v>0</v>
      </c>
      <c r="Y51" s="71">
        <f>-IF(Y47&gt;(PosPUDL1+3),PUDL1d*(Y47-PosPUDL1-3)^4/24,0)</f>
        <v>0</v>
      </c>
      <c r="Z51" s="71">
        <f>-IF(Z47&gt;(PosPUDL1+3),PUDL1d*(Z47-PosPUDL1-3)^4/24,0)</f>
        <v>0</v>
      </c>
      <c r="AA51" s="71">
        <f>-IF(AA47&gt;(PosPUDL1+3),PUDL1d*(AA47-PosPUDL1-3)^4/24,0)</f>
        <v>0</v>
      </c>
      <c r="AB51" s="71">
        <f>-IF(AB47&gt;(PosPUDL1+3),PUDL1d*(AB47-PosPUDL1-3)^4/24,0)</f>
        <v>0</v>
      </c>
      <c r="AC51" s="71">
        <f>-IF(AC47&gt;(PosPUDL1+3),PUDL1d*(AC47-PosPUDL1-3)^4/24,0)</f>
        <v>0</v>
      </c>
      <c r="AD51" s="71">
        <f>-IF(AD47&gt;(PosPUDL1+3),PUDL1d*(AD47-PosPUDL1-3)^4/24,0)</f>
        <v>0</v>
      </c>
      <c r="AE51" s="71">
        <f>-IF(AE47&gt;(PosPUDL1+3),PUDL1d*(AE47-PosPUDL1-3)^4/24,0)</f>
        <v>0</v>
      </c>
      <c r="AF51" s="71">
        <f>-IF(AF47&gt;(PosPUDL1+3),PUDL1d*(AF47-PosPUDL1-3)^4/24,0)</f>
        <v>0</v>
      </c>
      <c r="AG51" s="71">
        <f>-IF(AG47&gt;(PosPUDL1+3),PUDL1d*(AG47-PosPUDL1-3)^4/24,0)</f>
        <v>0</v>
      </c>
      <c r="AH51" s="71">
        <f>-IF(AH47&gt;(PosPUDL1+3),PUDL1d*(AH47-PosPUDL1-3)^4/24,0)</f>
        <v>0</v>
      </c>
      <c r="AI51" s="71">
        <f>-IF(AI47&gt;(PosPUDL1+3),PUDL1d*(AI47-PosPUDL1-3)^4/24,0)</f>
        <v>0</v>
      </c>
      <c r="AJ51" s="71">
        <f>-IF(AJ47&gt;(PosPUDL1+3),PUDL1d*(AJ47-PosPUDL1-3)^4/24,0)</f>
        <v>0</v>
      </c>
      <c r="AK51" s="71">
        <f>-IF(AK47&gt;(PosPUDL1+3),PUDL1d*(AK47-PosPUDL1-3)^4/24,0)</f>
        <v>0</v>
      </c>
      <c r="AL51" s="71">
        <f>-IF(AL47&gt;(PosPUDL1+3),PUDL1d*(AL47-PosPUDL1-3)^4/24,0)</f>
        <v>0</v>
      </c>
      <c r="AM51" s="71">
        <f>-IF(AM47&gt;(PosPUDL1+3),PUDL1d*(AM47-PosPUDL1-3)^4/24,0)</f>
        <v>0</v>
      </c>
      <c r="AN51" s="71">
        <f>-IF(AN47&gt;(PosPUDL1+3),PUDL1d*(AN47-PosPUDL1-3)^4/24,0)</f>
        <v>0</v>
      </c>
      <c r="AO51" s="71">
        <f>-IF(AO47&gt;(PosPUDL1+3),PUDL1d*(AO47-PosPUDL1-3)^4/24,0)</f>
        <v>0</v>
      </c>
      <c r="AP51" s="71">
        <f>-IF(AP47&gt;(PosPUDL1+3),PUDL1d*(AP47-PosPUDL1-3)^4/24,0)</f>
        <v>0</v>
      </c>
      <c r="AQ51" s="71">
        <f>-IF(AQ47&gt;(PosPUDL1+3),PUDL1d*(AQ47-PosPUDL1-3)^4/24,0)</f>
        <v>0</v>
      </c>
      <c r="AR51" s="71">
        <f>-IF(AR47&gt;(PosPUDL1+3),PUDL1d*(AR47-PosPUDL1-3)^4/24,0)</f>
        <v>0</v>
      </c>
      <c r="AS51" s="71">
        <f>-IF(AS47&gt;(PosPUDL1+3),PUDL1d*(AS47-PosPUDL1-3)^4/24,0)</f>
        <v>0</v>
      </c>
      <c r="AT51" s="71">
        <f>-IF(AT47&gt;(PosPUDL1+3),PUDL1d*(AT47-PosPUDL1-3)^4/24,0)</f>
        <v>0</v>
      </c>
      <c r="AU51" s="71">
        <f>-IF(AU47&gt;(PosPUDL1+3),PUDL1d*(AU47-PosPUDL1-3)^4/24,0)</f>
        <v>0</v>
      </c>
      <c r="AV51" s="71">
        <f>-IF(AV47&gt;(PosPUDL1+3),PUDL1d*(AV47-PosPUDL1-3)^4/24,0)</f>
        <v>0</v>
      </c>
      <c r="AW51" s="71">
        <f>-IF(AW47&gt;(PosPUDL1+3),PUDL1d*(AW47-PosPUDL1-3)^4/24,0)</f>
        <v>0</v>
      </c>
      <c r="AX51" s="71">
        <f>-IF(AX47&gt;(PosPUDL1+3),PUDL1d*(AX47-PosPUDL1-3)^4/24,0)</f>
        <v>0</v>
      </c>
      <c r="AY51" s="71">
        <f>-IF(AY47&gt;(PosPUDL1+3),PUDL1d*(AY47-PosPUDL1-3)^4/24,0)</f>
        <v>0</v>
      </c>
      <c r="AZ51" s="71">
        <f>-IF(AZ47&gt;(PosPUDL1+3),PUDL1d*(AZ47-PosPUDL1-3)^4/24,0)</f>
        <v>0</v>
      </c>
      <c r="BA51" s="71">
        <f>-IF(BA47&gt;(PosPUDL1+3),PUDL1d*(BA47-PosPUDL1-3)^4/24,0)</f>
        <v>0</v>
      </c>
      <c r="BB51" s="71">
        <f>-IF(BB47&gt;(PosPUDL1+3),PUDL1d*(BB47-PosPUDL1-3)^4/24,0)</f>
        <v>-3.4133333333336485E-6</v>
      </c>
      <c r="BC51" s="71">
        <f>-IF(BC47&gt;(PosPUDL1+3),PUDL1d*(BC47-PosPUDL1-3)^4/24,0)</f>
        <v>-5.4613333333335957E-5</v>
      </c>
      <c r="BD51" s="71">
        <f>-IF(BD47&gt;(PosPUDL1+3),PUDL1d*(BD47-PosPUDL1-3)^4/24,0)</f>
        <v>-2.7648000000000917E-4</v>
      </c>
      <c r="BE51" s="71">
        <f>-IF(BE47&gt;(PosPUDL1+3),PUDL1d*(BE47-PosPUDL1-3)^4/24,0)</f>
        <v>-8.738133333333559E-4</v>
      </c>
      <c r="BF51" s="71">
        <f>-IF(BF47&gt;(PosPUDL1+3),PUDL1d*(BF47-PosPUDL1-3)^4/24,0)</f>
        <v>-2.1333333333333785E-3</v>
      </c>
      <c r="BG51" s="71">
        <f>-IF(BG47&gt;(PosPUDL1+3),PUDL1d*(BG47-PosPUDL1-3)^4/24,0)</f>
        <v>-4.4236800000000808E-3</v>
      </c>
      <c r="BH51" s="71">
        <f>-IF(BH47&gt;(PosPUDL1+3),PUDL1d*(BH47-PosPUDL1-3)^4/24,0)</f>
        <v>-8.1954133333334653E-3</v>
      </c>
      <c r="BI51" s="71">
        <f>-IF(BI47&gt;(PosPUDL1+3),PUDL1d*(BI47-PosPUDL1-3)^4/24,0)</f>
        <v>-1.398101333333354E-2</v>
      </c>
      <c r="BJ51" s="71">
        <f>-IF(BJ47&gt;(PosPUDL1+3),PUDL1d*(BJ47-PosPUDL1-3)^4/24,0)</f>
        <v>-2.2394880000000308E-2</v>
      </c>
      <c r="BK51" s="71">
        <f>-IF(BK47&gt;(PosPUDL1+3),PUDL1d*(BK47-PosPUDL1-3)^4/24,0)</f>
        <v>-3.4133333333333758E-2</v>
      </c>
      <c r="BL51" s="71">
        <f>-IF(BL47&gt;(PosPUDL1+3),PUDL1d*(BL47-PosPUDL1-3)^4/24,0)</f>
        <v>-4.9974613333333917E-2</v>
      </c>
      <c r="BM51" s="71">
        <f>-IF(BM47&gt;(PosPUDL1+3),PUDL1d*(BM47-PosPUDL1-3)^4/24,0)</f>
        <v>-7.077888000000078E-2</v>
      </c>
      <c r="BN51" s="71">
        <f>-IF(BN47&gt;(PosPUDL1+3),PUDL1d*(BN47-PosPUDL1-3)^4/24,0)</f>
        <v>-9.748821333333435E-2</v>
      </c>
      <c r="BO51" s="71">
        <f>-IF(BO47&gt;(PosPUDL1+3),PUDL1d*(BO47-PosPUDL1-3)^4/24,0)</f>
        <v>-0.13112661333333461</v>
      </c>
      <c r="BP51" s="71">
        <f>-IF(BP47&gt;(PosPUDL1+3),PUDL1d*(BP47-PosPUDL1-3)^4/24,0)</f>
        <v>-0.17280000000000165</v>
      </c>
      <c r="BQ51" s="71">
        <f>-IF(BQ47&gt;(PosPUDL1+3),PUDL1d*(BQ47-PosPUDL1-3)^4/24,0)</f>
        <v>-0.22369621333333536</v>
      </c>
      <c r="BR51" s="71">
        <f>-IF(BR47&gt;(PosPUDL1+3),PUDL1d*(BR47-PosPUDL1-3)^4/24,0)</f>
        <v>-0.28508501333333586</v>
      </c>
      <c r="BS51" s="71">
        <f>-IF(BS47&gt;(PosPUDL1+3),PUDL1d*(BS47-PosPUDL1-3)^4/24,0)</f>
        <v>-0.35831808000000304</v>
      </c>
      <c r="BT51" s="71">
        <f>-IF(BT47&gt;(PosPUDL1+3),PUDL1d*(BT47-PosPUDL1-3)^4/24,0)</f>
        <v>-0.44482901333333696</v>
      </c>
      <c r="BU51" s="71">
        <f>-IF(BU47&gt;(PosPUDL1+3),PUDL1d*(BU47-PosPUDL1-3)^4/24,0)</f>
        <v>-0.54613333333333769</v>
      </c>
      <c r="BV51" s="71">
        <f>-IF(BV47&gt;(PosPUDL1+3),PUDL1d*(BV47-PosPUDL1-3)^4/24,0)</f>
        <v>-0.66382848000000527</v>
      </c>
      <c r="BW51" s="71">
        <f>-IF(BW47&gt;(PosPUDL1+3),PUDL1d*(BW47-PosPUDL1-3)^4/24,0)</f>
        <v>-0.79959381333333945</v>
      </c>
      <c r="BX51" s="71">
        <f>-IF(BX47&gt;(PosPUDL1+3),PUDL1d*(BX47-PosPUDL1-3)^4/24,0)</f>
        <v>-0.95519061333334043</v>
      </c>
      <c r="BY51" s="71">
        <f>-IF(BY47&gt;(PosPUDL1+3),PUDL1d*(BY47-PosPUDL1-3)^4/24,0)</f>
        <v>-1.132462080000008</v>
      </c>
      <c r="BZ51" s="71">
        <f>-IF(BZ47&gt;(PosPUDL1+3),PUDL1d*(BZ47-PosPUDL1-3)^4/24,0)</f>
        <v>-1.3333333333333428</v>
      </c>
      <c r="CA51" s="71">
        <f>-IF(CA47&gt;(PosPUDL1+3),PUDL1d*(CA47-PosPUDL1-3)^4/24,0)</f>
        <v>-1.5598114133333441</v>
      </c>
      <c r="CB51" s="71">
        <f>-IF(CB47&gt;(PosPUDL1+3),PUDL1d*(CB47-PosPUDL1-3)^4/24,0)</f>
        <v>-1.8139852800000129</v>
      </c>
      <c r="CC51" s="71">
        <f>-IF(CC47&gt;(PosPUDL1+3),PUDL1d*(CC47-PosPUDL1-3)^4/24,0)</f>
        <v>-2.0980258133333476</v>
      </c>
      <c r="CD51" s="71">
        <f>-IF(CD47&gt;(PosPUDL1+3),PUDL1d*(CD47-PosPUDL1-3)^4/24,0)</f>
        <v>-2.4141858133333489</v>
      </c>
      <c r="CE51" s="71">
        <f>-IF(CE47&gt;(PosPUDL1+3),PUDL1d*(CE47-PosPUDL1-3)^4/24,0)</f>
        <v>-2.7648000000000175</v>
      </c>
      <c r="CF51" s="71">
        <f>-IF(CF47&gt;(PosPUDL1+3),PUDL1d*(CF47-PosPUDL1-3)^4/24,0)</f>
        <v>-3.1522850133333535</v>
      </c>
      <c r="CG51" s="71">
        <f>-IF(CG47&gt;(PosPUDL1+3),PUDL1d*(CG47-PosPUDL1-3)^4/24,0)</f>
        <v>-3.5791394133333561</v>
      </c>
      <c r="CH51" s="71">
        <f>-IF(CH47&gt;(PosPUDL1+3),PUDL1d*(CH47-PosPUDL1-3)^4/24,0)</f>
        <v>-4.0479436800000252</v>
      </c>
      <c r="CI51" s="71">
        <f>-IF(CI47&gt;(PosPUDL1+3),PUDL1d*(CI47-PosPUDL1-3)^4/24,0)</f>
        <v>-4.5613602133333613</v>
      </c>
      <c r="CJ51" s="71">
        <f>-IF(CJ47&gt;(PosPUDL1+3),PUDL1d*(CJ47-PosPUDL1-3)^4/24,0)</f>
        <v>-5.1221333333333643</v>
      </c>
      <c r="CK51" s="71">
        <f>-IF(CK47&gt;(PosPUDL1+3),PUDL1d*(CK47-PosPUDL1-3)^4/24,0)</f>
        <v>-5.7330892800000335</v>
      </c>
      <c r="CL51" s="71">
        <f>-IF(CL47&gt;(PosPUDL1+3),PUDL1d*(CL47-PosPUDL1-3)^4/24,0)</f>
        <v>-6.397136213333372</v>
      </c>
      <c r="CM51" s="71">
        <f>-IF(CM47&gt;(PosPUDL1+3),PUDL1d*(CM47-PosPUDL1-3)^4/24,0)</f>
        <v>-7.1172642133333746</v>
      </c>
      <c r="CN51" s="71">
        <f>-IF(CN47&gt;(PosPUDL1+3),PUDL1d*(CN47-PosPUDL1-3)^4/24,0)</f>
        <v>-7.8965452800000477</v>
      </c>
      <c r="CO51" s="71">
        <f>-IF(CO47&gt;(PosPUDL1+3),PUDL1d*(CO47-PosPUDL1-3)^4/24,0)</f>
        <v>-8.7381333333333853</v>
      </c>
      <c r="CP51" s="71">
        <f>-IF(CP47&gt;(PosPUDL1+3),PUDL1d*(CP47-PosPUDL1-3)^4/24,0)</f>
        <v>-9.6452642133333875</v>
      </c>
      <c r="CQ51" s="71">
        <f>-IF(CQ47&gt;(PosPUDL1+3),PUDL1d*(CQ47-PosPUDL1-3)^4/24,0)</f>
        <v>-10.621255680000059</v>
      </c>
      <c r="CR51" s="71">
        <f>-IF(CR47&gt;(PosPUDL1+3),PUDL1d*(CR47-PosPUDL1-3)^4/24,0)</f>
        <v>-11.669507413333397</v>
      </c>
      <c r="CS51" s="71">
        <f>-IF(CS47&gt;(PosPUDL1+3),PUDL1d*(CS47-PosPUDL1-3)^4/24,0)</f>
        <v>-12.793501013333406</v>
      </c>
      <c r="CT51" s="71">
        <f>-IF(CT47&gt;(PosPUDL1+3),PUDL1d*(CT47-PosPUDL1-3)^4/24,0)</f>
        <v>-13.996800000000079</v>
      </c>
      <c r="CU51" s="71">
        <f>-IF(CU47&gt;(PosPUDL1+3),PUDL1d*(CU47-PosPUDL1-3)^4/24,0)</f>
        <v>-15.283049813333418</v>
      </c>
      <c r="CV51" s="71">
        <f>-IF(CV47&gt;(PosPUDL1+3),PUDL1d*(CV47-PosPUDL1-3)^4/24,0)</f>
        <v>-16.655977813333426</v>
      </c>
      <c r="CW51" s="71">
        <f>-IF(CW47&gt;(PosPUDL1+3),PUDL1d*(CW47-PosPUDL1-3)^4/24,0)</f>
        <v>-18.1193932800001</v>
      </c>
      <c r="CX51" s="71">
        <f>-IF(CX47&gt;(PosPUDL1+3),PUDL1d*(CX47-PosPUDL1-3)^4/24,0)</f>
        <v>-19.677187413333439</v>
      </c>
      <c r="CY51" s="71">
        <f>-IF(CY47&gt;(PosPUDL1+3),PUDL1d*(CY47-PosPUDL1-3)^4/24,0)</f>
        <v>-21.333333333333446</v>
      </c>
      <c r="CZ51" s="2"/>
      <c r="DA51" s="2"/>
    </row>
    <row r="52" spans="2:105">
      <c r="B52" s="3" t="s">
        <v>278</v>
      </c>
      <c r="C52" s="71">
        <f t="shared" ref="C52:AH52" si="9">IF(PosPUDL2&lt;C47,PUDL2d*(C47-PosPUDL2)^4/24,0)</f>
        <v>0</v>
      </c>
      <c r="D52" s="71">
        <f t="shared" si="9"/>
        <v>0</v>
      </c>
      <c r="E52" s="71">
        <f t="shared" si="9"/>
        <v>0</v>
      </c>
      <c r="F52" s="71">
        <f t="shared" si="9"/>
        <v>0</v>
      </c>
      <c r="G52" s="71">
        <f t="shared" si="9"/>
        <v>0</v>
      </c>
      <c r="H52" s="71">
        <f t="shared" si="9"/>
        <v>0</v>
      </c>
      <c r="I52" s="71">
        <f t="shared" si="9"/>
        <v>0</v>
      </c>
      <c r="J52" s="71">
        <f t="shared" si="9"/>
        <v>0</v>
      </c>
      <c r="K52" s="71">
        <f t="shared" si="9"/>
        <v>0</v>
      </c>
      <c r="L52" s="71">
        <f t="shared" si="9"/>
        <v>0</v>
      </c>
      <c r="M52" s="71">
        <f t="shared" si="9"/>
        <v>0</v>
      </c>
      <c r="N52" s="71">
        <f t="shared" si="9"/>
        <v>0</v>
      </c>
      <c r="O52" s="71">
        <f t="shared" si="9"/>
        <v>0</v>
      </c>
      <c r="P52" s="71">
        <f t="shared" si="9"/>
        <v>0</v>
      </c>
      <c r="Q52" s="71">
        <f t="shared" si="9"/>
        <v>0</v>
      </c>
      <c r="R52" s="71">
        <f t="shared" si="9"/>
        <v>0</v>
      </c>
      <c r="S52" s="71">
        <f t="shared" si="9"/>
        <v>0</v>
      </c>
      <c r="T52" s="71">
        <f t="shared" si="9"/>
        <v>0</v>
      </c>
      <c r="U52" s="71">
        <f t="shared" si="9"/>
        <v>0</v>
      </c>
      <c r="V52" s="71">
        <f t="shared" si="9"/>
        <v>0</v>
      </c>
      <c r="W52" s="71">
        <f t="shared" si="9"/>
        <v>0</v>
      </c>
      <c r="X52" s="71">
        <f t="shared" si="9"/>
        <v>0</v>
      </c>
      <c r="Y52" s="71">
        <f t="shared" si="9"/>
        <v>0</v>
      </c>
      <c r="Z52" s="71">
        <f t="shared" si="9"/>
        <v>0</v>
      </c>
      <c r="AA52" s="71">
        <f t="shared" si="9"/>
        <v>0</v>
      </c>
      <c r="AB52" s="71">
        <f t="shared" si="9"/>
        <v>0</v>
      </c>
      <c r="AC52" s="71">
        <f t="shared" si="9"/>
        <v>0</v>
      </c>
      <c r="AD52" s="71">
        <f t="shared" si="9"/>
        <v>0</v>
      </c>
      <c r="AE52" s="71">
        <f t="shared" si="9"/>
        <v>0</v>
      </c>
      <c r="AF52" s="71">
        <f t="shared" si="9"/>
        <v>0</v>
      </c>
      <c r="AG52" s="71">
        <f t="shared" si="9"/>
        <v>0</v>
      </c>
      <c r="AH52" s="71">
        <f t="shared" si="9"/>
        <v>0</v>
      </c>
      <c r="AI52" s="71">
        <f t="shared" ref="AI52:BN52" si="10">IF(PosPUDL2&lt;AI47,PUDL2d*(AI47-PosPUDL2)^4/24,0)</f>
        <v>0</v>
      </c>
      <c r="AJ52" s="71">
        <f t="shared" si="10"/>
        <v>0</v>
      </c>
      <c r="AK52" s="71">
        <f t="shared" si="10"/>
        <v>0</v>
      </c>
      <c r="AL52" s="71">
        <f t="shared" si="10"/>
        <v>0</v>
      </c>
      <c r="AM52" s="71">
        <f t="shared" si="10"/>
        <v>0</v>
      </c>
      <c r="AN52" s="71">
        <f t="shared" si="10"/>
        <v>0</v>
      </c>
      <c r="AO52" s="71">
        <f t="shared" si="10"/>
        <v>0</v>
      </c>
      <c r="AP52" s="71">
        <f t="shared" si="10"/>
        <v>0</v>
      </c>
      <c r="AQ52" s="71">
        <f t="shared" si="10"/>
        <v>0</v>
      </c>
      <c r="AR52" s="71">
        <f t="shared" si="10"/>
        <v>0</v>
      </c>
      <c r="AS52" s="71">
        <f t="shared" si="10"/>
        <v>0</v>
      </c>
      <c r="AT52" s="71">
        <f t="shared" si="10"/>
        <v>0</v>
      </c>
      <c r="AU52" s="71">
        <f t="shared" si="10"/>
        <v>0</v>
      </c>
      <c r="AV52" s="71">
        <f t="shared" si="10"/>
        <v>0</v>
      </c>
      <c r="AW52" s="71">
        <f t="shared" si="10"/>
        <v>0</v>
      </c>
      <c r="AX52" s="71">
        <f t="shared" si="10"/>
        <v>0</v>
      </c>
      <c r="AY52" s="71">
        <f t="shared" si="10"/>
        <v>0</v>
      </c>
      <c r="AZ52" s="71">
        <f t="shared" si="10"/>
        <v>0</v>
      </c>
      <c r="BA52" s="71">
        <f t="shared" si="10"/>
        <v>0</v>
      </c>
      <c r="BB52" s="71">
        <f t="shared" si="10"/>
        <v>0</v>
      </c>
      <c r="BC52" s="71">
        <f t="shared" si="10"/>
        <v>0</v>
      </c>
      <c r="BD52" s="71">
        <f t="shared" si="10"/>
        <v>0</v>
      </c>
      <c r="BE52" s="71">
        <f t="shared" si="10"/>
        <v>0</v>
      </c>
      <c r="BF52" s="71">
        <f t="shared" si="10"/>
        <v>0</v>
      </c>
      <c r="BG52" s="71">
        <f t="shared" si="10"/>
        <v>0</v>
      </c>
      <c r="BH52" s="71">
        <f t="shared" si="10"/>
        <v>0</v>
      </c>
      <c r="BI52" s="71">
        <f t="shared" si="10"/>
        <v>0</v>
      </c>
      <c r="BJ52" s="71">
        <f t="shared" si="10"/>
        <v>0</v>
      </c>
      <c r="BK52" s="71">
        <f t="shared" si="10"/>
        <v>0</v>
      </c>
      <c r="BL52" s="71">
        <f t="shared" si="10"/>
        <v>0</v>
      </c>
      <c r="BM52" s="71">
        <f t="shared" si="10"/>
        <v>0</v>
      </c>
      <c r="BN52" s="71">
        <f t="shared" si="10"/>
        <v>0</v>
      </c>
      <c r="BO52" s="71">
        <f t="shared" ref="BO52:CY52" si="11">IF(PosPUDL2&lt;BO47,PUDL2d*(BO47-PosPUDL2)^4/24,0)</f>
        <v>0</v>
      </c>
      <c r="BP52" s="71">
        <f t="shared" si="11"/>
        <v>0</v>
      </c>
      <c r="BQ52" s="71">
        <f t="shared" si="11"/>
        <v>0</v>
      </c>
      <c r="BR52" s="71">
        <f t="shared" si="11"/>
        <v>0</v>
      </c>
      <c r="BS52" s="71">
        <f t="shared" si="11"/>
        <v>0</v>
      </c>
      <c r="BT52" s="71">
        <f t="shared" si="11"/>
        <v>0</v>
      </c>
      <c r="BU52" s="71">
        <f t="shared" si="11"/>
        <v>0</v>
      </c>
      <c r="BV52" s="71">
        <f t="shared" si="11"/>
        <v>0</v>
      </c>
      <c r="BW52" s="71">
        <f t="shared" si="11"/>
        <v>0</v>
      </c>
      <c r="BX52" s="71">
        <f t="shared" si="11"/>
        <v>0</v>
      </c>
      <c r="BY52" s="71">
        <f t="shared" si="11"/>
        <v>0</v>
      </c>
      <c r="BZ52" s="71">
        <f t="shared" si="11"/>
        <v>0</v>
      </c>
      <c r="CA52" s="71">
        <f t="shared" si="11"/>
        <v>0</v>
      </c>
      <c r="CB52" s="71">
        <f t="shared" si="11"/>
        <v>0</v>
      </c>
      <c r="CC52" s="71">
        <f t="shared" si="11"/>
        <v>0</v>
      </c>
      <c r="CD52" s="71">
        <f t="shared" si="11"/>
        <v>0</v>
      </c>
      <c r="CE52" s="71">
        <f t="shared" si="11"/>
        <v>0</v>
      </c>
      <c r="CF52" s="71">
        <f t="shared" si="11"/>
        <v>0</v>
      </c>
      <c r="CG52" s="71">
        <f t="shared" si="11"/>
        <v>0</v>
      </c>
      <c r="CH52" s="71">
        <f t="shared" si="11"/>
        <v>0</v>
      </c>
      <c r="CI52" s="71">
        <f t="shared" si="11"/>
        <v>0</v>
      </c>
      <c r="CJ52" s="71">
        <f t="shared" si="11"/>
        <v>0</v>
      </c>
      <c r="CK52" s="71">
        <f t="shared" si="11"/>
        <v>0</v>
      </c>
      <c r="CL52" s="71">
        <f t="shared" si="11"/>
        <v>0</v>
      </c>
      <c r="CM52" s="71">
        <f t="shared" si="11"/>
        <v>0</v>
      </c>
      <c r="CN52" s="71">
        <f t="shared" si="11"/>
        <v>0</v>
      </c>
      <c r="CO52" s="71">
        <f t="shared" si="11"/>
        <v>0</v>
      </c>
      <c r="CP52" s="71">
        <f t="shared" si="11"/>
        <v>0</v>
      </c>
      <c r="CQ52" s="71">
        <f t="shared" si="11"/>
        <v>0</v>
      </c>
      <c r="CR52" s="71">
        <f t="shared" si="11"/>
        <v>0</v>
      </c>
      <c r="CS52" s="71">
        <f t="shared" si="11"/>
        <v>0</v>
      </c>
      <c r="CT52" s="71">
        <f t="shared" si="11"/>
        <v>0</v>
      </c>
      <c r="CU52" s="71">
        <f t="shared" si="11"/>
        <v>0</v>
      </c>
      <c r="CV52" s="71">
        <f t="shared" si="11"/>
        <v>0</v>
      </c>
      <c r="CW52" s="71">
        <f t="shared" si="11"/>
        <v>0</v>
      </c>
      <c r="CX52" s="71">
        <f t="shared" si="11"/>
        <v>0</v>
      </c>
      <c r="CY52" s="71">
        <f t="shared" si="11"/>
        <v>0</v>
      </c>
      <c r="CZ52" s="2"/>
      <c r="DA52" s="2"/>
    </row>
    <row r="53" spans="2:105">
      <c r="B53" s="3" t="s">
        <v>280</v>
      </c>
      <c r="C53" s="71">
        <f t="shared" ref="C53:AH53" si="12">-IF(C47&gt;(PosPUDL2+LePUDL2),PUDL2d*(C47-PosPUDL2-LePUDL2)^4/24,0)</f>
        <v>0</v>
      </c>
      <c r="D53" s="71">
        <f t="shared" si="12"/>
        <v>0</v>
      </c>
      <c r="E53" s="71">
        <f t="shared" si="12"/>
        <v>0</v>
      </c>
      <c r="F53" s="71">
        <f t="shared" si="12"/>
        <v>0</v>
      </c>
      <c r="G53" s="71">
        <f t="shared" si="12"/>
        <v>0</v>
      </c>
      <c r="H53" s="71">
        <f t="shared" si="12"/>
        <v>0</v>
      </c>
      <c r="I53" s="71">
        <f t="shared" si="12"/>
        <v>0</v>
      </c>
      <c r="J53" s="71">
        <f t="shared" si="12"/>
        <v>0</v>
      </c>
      <c r="K53" s="71">
        <f t="shared" si="12"/>
        <v>0</v>
      </c>
      <c r="L53" s="71">
        <f t="shared" si="12"/>
        <v>0</v>
      </c>
      <c r="M53" s="71">
        <f t="shared" si="12"/>
        <v>0</v>
      </c>
      <c r="N53" s="71">
        <f t="shared" si="12"/>
        <v>0</v>
      </c>
      <c r="O53" s="71">
        <f t="shared" si="12"/>
        <v>0</v>
      </c>
      <c r="P53" s="71">
        <f t="shared" si="12"/>
        <v>0</v>
      </c>
      <c r="Q53" s="71">
        <f t="shared" si="12"/>
        <v>0</v>
      </c>
      <c r="R53" s="71">
        <f t="shared" si="12"/>
        <v>0</v>
      </c>
      <c r="S53" s="71">
        <f t="shared" si="12"/>
        <v>0</v>
      </c>
      <c r="T53" s="71">
        <f t="shared" si="12"/>
        <v>0</v>
      </c>
      <c r="U53" s="71">
        <f t="shared" si="12"/>
        <v>0</v>
      </c>
      <c r="V53" s="71">
        <f t="shared" si="12"/>
        <v>0</v>
      </c>
      <c r="W53" s="71">
        <f t="shared" si="12"/>
        <v>0</v>
      </c>
      <c r="X53" s="71">
        <f t="shared" si="12"/>
        <v>0</v>
      </c>
      <c r="Y53" s="71">
        <f t="shared" si="12"/>
        <v>0</v>
      </c>
      <c r="Z53" s="71">
        <f t="shared" si="12"/>
        <v>0</v>
      </c>
      <c r="AA53" s="71">
        <f t="shared" si="12"/>
        <v>0</v>
      </c>
      <c r="AB53" s="71">
        <f t="shared" si="12"/>
        <v>0</v>
      </c>
      <c r="AC53" s="71">
        <f t="shared" si="12"/>
        <v>0</v>
      </c>
      <c r="AD53" s="71">
        <f t="shared" si="12"/>
        <v>0</v>
      </c>
      <c r="AE53" s="71">
        <f t="shared" si="12"/>
        <v>0</v>
      </c>
      <c r="AF53" s="71">
        <f t="shared" si="12"/>
        <v>0</v>
      </c>
      <c r="AG53" s="71">
        <f t="shared" si="12"/>
        <v>0</v>
      </c>
      <c r="AH53" s="71">
        <f t="shared" si="12"/>
        <v>0</v>
      </c>
      <c r="AI53" s="71">
        <f t="shared" ref="AI53:BN53" si="13">-IF(AI47&gt;(PosPUDL2+LePUDL2),PUDL2d*(AI47-PosPUDL2-LePUDL2)^4/24,0)</f>
        <v>0</v>
      </c>
      <c r="AJ53" s="71">
        <f t="shared" si="13"/>
        <v>0</v>
      </c>
      <c r="AK53" s="71">
        <f t="shared" si="13"/>
        <v>0</v>
      </c>
      <c r="AL53" s="71">
        <f t="shared" si="13"/>
        <v>0</v>
      </c>
      <c r="AM53" s="71">
        <f t="shared" si="13"/>
        <v>0</v>
      </c>
      <c r="AN53" s="71">
        <f t="shared" si="13"/>
        <v>0</v>
      </c>
      <c r="AO53" s="71">
        <f t="shared" si="13"/>
        <v>0</v>
      </c>
      <c r="AP53" s="71">
        <f t="shared" si="13"/>
        <v>0</v>
      </c>
      <c r="AQ53" s="71">
        <f t="shared" si="13"/>
        <v>0</v>
      </c>
      <c r="AR53" s="71">
        <f t="shared" si="13"/>
        <v>0</v>
      </c>
      <c r="AS53" s="71">
        <f t="shared" si="13"/>
        <v>0</v>
      </c>
      <c r="AT53" s="71">
        <f t="shared" si="13"/>
        <v>0</v>
      </c>
      <c r="AU53" s="71">
        <f t="shared" si="13"/>
        <v>0</v>
      </c>
      <c r="AV53" s="71">
        <f t="shared" si="13"/>
        <v>0</v>
      </c>
      <c r="AW53" s="71">
        <f t="shared" si="13"/>
        <v>0</v>
      </c>
      <c r="AX53" s="71">
        <f t="shared" si="13"/>
        <v>0</v>
      </c>
      <c r="AY53" s="71">
        <f t="shared" si="13"/>
        <v>0</v>
      </c>
      <c r="AZ53" s="71">
        <f t="shared" si="13"/>
        <v>0</v>
      </c>
      <c r="BA53" s="71">
        <f t="shared" si="13"/>
        <v>0</v>
      </c>
      <c r="BB53" s="71">
        <f t="shared" si="13"/>
        <v>0</v>
      </c>
      <c r="BC53" s="71">
        <f t="shared" si="13"/>
        <v>0</v>
      </c>
      <c r="BD53" s="71">
        <f t="shared" si="13"/>
        <v>0</v>
      </c>
      <c r="BE53" s="71">
        <f t="shared" si="13"/>
        <v>0</v>
      </c>
      <c r="BF53" s="71">
        <f t="shared" si="13"/>
        <v>0</v>
      </c>
      <c r="BG53" s="71">
        <f t="shared" si="13"/>
        <v>0</v>
      </c>
      <c r="BH53" s="71">
        <f t="shared" si="13"/>
        <v>0</v>
      </c>
      <c r="BI53" s="71">
        <f t="shared" si="13"/>
        <v>0</v>
      </c>
      <c r="BJ53" s="71">
        <f t="shared" si="13"/>
        <v>0</v>
      </c>
      <c r="BK53" s="71">
        <f t="shared" si="13"/>
        <v>0</v>
      </c>
      <c r="BL53" s="71">
        <f t="shared" si="13"/>
        <v>0</v>
      </c>
      <c r="BM53" s="71">
        <f t="shared" si="13"/>
        <v>0</v>
      </c>
      <c r="BN53" s="71">
        <f t="shared" si="13"/>
        <v>0</v>
      </c>
      <c r="BO53" s="71">
        <f t="shared" ref="BO53:CY53" si="14">-IF(BO47&gt;(PosPUDL2+LePUDL2),PUDL2d*(BO47-PosPUDL2-LePUDL2)^4/24,0)</f>
        <v>0</v>
      </c>
      <c r="BP53" s="71">
        <f t="shared" si="14"/>
        <v>0</v>
      </c>
      <c r="BQ53" s="71">
        <f t="shared" si="14"/>
        <v>0</v>
      </c>
      <c r="BR53" s="71">
        <f t="shared" si="14"/>
        <v>0</v>
      </c>
      <c r="BS53" s="71">
        <f t="shared" si="14"/>
        <v>0</v>
      </c>
      <c r="BT53" s="71">
        <f t="shared" si="14"/>
        <v>0</v>
      </c>
      <c r="BU53" s="71">
        <f t="shared" si="14"/>
        <v>0</v>
      </c>
      <c r="BV53" s="71">
        <f t="shared" si="14"/>
        <v>0</v>
      </c>
      <c r="BW53" s="71">
        <f t="shared" si="14"/>
        <v>0</v>
      </c>
      <c r="BX53" s="71">
        <f t="shared" si="14"/>
        <v>0</v>
      </c>
      <c r="BY53" s="71">
        <f t="shared" si="14"/>
        <v>0</v>
      </c>
      <c r="BZ53" s="71">
        <f t="shared" si="14"/>
        <v>0</v>
      </c>
      <c r="CA53" s="71">
        <f t="shared" si="14"/>
        <v>0</v>
      </c>
      <c r="CB53" s="71">
        <f t="shared" si="14"/>
        <v>0</v>
      </c>
      <c r="CC53" s="71">
        <f t="shared" si="14"/>
        <v>0</v>
      </c>
      <c r="CD53" s="71">
        <f t="shared" si="14"/>
        <v>0</v>
      </c>
      <c r="CE53" s="71">
        <f t="shared" si="14"/>
        <v>0</v>
      </c>
      <c r="CF53" s="71">
        <f t="shared" si="14"/>
        <v>0</v>
      </c>
      <c r="CG53" s="71">
        <f t="shared" si="14"/>
        <v>0</v>
      </c>
      <c r="CH53" s="71">
        <f t="shared" si="14"/>
        <v>0</v>
      </c>
      <c r="CI53" s="71">
        <f t="shared" si="14"/>
        <v>0</v>
      </c>
      <c r="CJ53" s="71">
        <f t="shared" si="14"/>
        <v>0</v>
      </c>
      <c r="CK53" s="71">
        <f t="shared" si="14"/>
        <v>0</v>
      </c>
      <c r="CL53" s="71">
        <f t="shared" si="14"/>
        <v>0</v>
      </c>
      <c r="CM53" s="71">
        <f t="shared" si="14"/>
        <v>0</v>
      </c>
      <c r="CN53" s="71">
        <f t="shared" si="14"/>
        <v>0</v>
      </c>
      <c r="CO53" s="71">
        <f t="shared" si="14"/>
        <v>0</v>
      </c>
      <c r="CP53" s="71">
        <f t="shared" si="14"/>
        <v>0</v>
      </c>
      <c r="CQ53" s="71">
        <f t="shared" si="14"/>
        <v>0</v>
      </c>
      <c r="CR53" s="71">
        <f t="shared" si="14"/>
        <v>0</v>
      </c>
      <c r="CS53" s="71">
        <f t="shared" si="14"/>
        <v>0</v>
      </c>
      <c r="CT53" s="71">
        <f t="shared" si="14"/>
        <v>0</v>
      </c>
      <c r="CU53" s="71">
        <f t="shared" si="14"/>
        <v>0</v>
      </c>
      <c r="CV53" s="71">
        <f t="shared" si="14"/>
        <v>0</v>
      </c>
      <c r="CW53" s="71">
        <f t="shared" si="14"/>
        <v>0</v>
      </c>
      <c r="CX53" s="71">
        <f t="shared" si="14"/>
        <v>0</v>
      </c>
      <c r="CY53" s="71">
        <f t="shared" si="14"/>
        <v>0</v>
      </c>
      <c r="CZ53" s="2"/>
      <c r="DA53" s="2"/>
    </row>
    <row r="54" spans="2:105">
      <c r="B54" s="3" t="s">
        <v>48</v>
      </c>
      <c r="C54" s="71">
        <f t="shared" ref="C54:AH54" si="15">IF(C47&gt;PosPLa1,PLa1d*(C47-PosPLa1)^3/6,0)</f>
        <v>0</v>
      </c>
      <c r="D54" s="71">
        <f t="shared" si="15"/>
        <v>0</v>
      </c>
      <c r="E54" s="71">
        <f t="shared" si="15"/>
        <v>0</v>
      </c>
      <c r="F54" s="71">
        <f t="shared" si="15"/>
        <v>0</v>
      </c>
      <c r="G54" s="71">
        <f t="shared" si="15"/>
        <v>0</v>
      </c>
      <c r="H54" s="71">
        <f t="shared" si="15"/>
        <v>0</v>
      </c>
      <c r="I54" s="71">
        <f t="shared" si="15"/>
        <v>0</v>
      </c>
      <c r="J54" s="71">
        <f t="shared" si="15"/>
        <v>0</v>
      </c>
      <c r="K54" s="71">
        <f t="shared" si="15"/>
        <v>0</v>
      </c>
      <c r="L54" s="71">
        <f t="shared" si="15"/>
        <v>0</v>
      </c>
      <c r="M54" s="71">
        <f t="shared" si="15"/>
        <v>0</v>
      </c>
      <c r="N54" s="71">
        <f t="shared" si="15"/>
        <v>0</v>
      </c>
      <c r="O54" s="71">
        <f t="shared" si="15"/>
        <v>0</v>
      </c>
      <c r="P54" s="71">
        <f t="shared" si="15"/>
        <v>0</v>
      </c>
      <c r="Q54" s="71">
        <f t="shared" si="15"/>
        <v>0</v>
      </c>
      <c r="R54" s="71">
        <f t="shared" si="15"/>
        <v>0</v>
      </c>
      <c r="S54" s="71">
        <f t="shared" si="15"/>
        <v>0</v>
      </c>
      <c r="T54" s="71">
        <f t="shared" si="15"/>
        <v>0</v>
      </c>
      <c r="U54" s="71">
        <f t="shared" si="15"/>
        <v>0</v>
      </c>
      <c r="V54" s="71">
        <f t="shared" si="15"/>
        <v>0</v>
      </c>
      <c r="W54" s="71">
        <f t="shared" si="15"/>
        <v>0</v>
      </c>
      <c r="X54" s="71">
        <f t="shared" si="15"/>
        <v>0</v>
      </c>
      <c r="Y54" s="71">
        <f t="shared" si="15"/>
        <v>0</v>
      </c>
      <c r="Z54" s="71">
        <f t="shared" si="15"/>
        <v>0</v>
      </c>
      <c r="AA54" s="71">
        <f t="shared" si="15"/>
        <v>0</v>
      </c>
      <c r="AB54" s="71">
        <f t="shared" si="15"/>
        <v>0</v>
      </c>
      <c r="AC54" s="71">
        <f t="shared" si="15"/>
        <v>0</v>
      </c>
      <c r="AD54" s="71">
        <f t="shared" si="15"/>
        <v>0</v>
      </c>
      <c r="AE54" s="71">
        <f t="shared" si="15"/>
        <v>0</v>
      </c>
      <c r="AF54" s="71">
        <f t="shared" si="15"/>
        <v>0</v>
      </c>
      <c r="AG54" s="71">
        <f t="shared" si="15"/>
        <v>0</v>
      </c>
      <c r="AH54" s="71">
        <f t="shared" si="15"/>
        <v>0</v>
      </c>
      <c r="AI54" s="71">
        <f t="shared" ref="AI54:BN54" si="16">IF(AI47&gt;PosPLa1,PLa1d*(AI47-PosPLa1)^3/6,0)</f>
        <v>0</v>
      </c>
      <c r="AJ54" s="71">
        <f t="shared" si="16"/>
        <v>0</v>
      </c>
      <c r="AK54" s="71">
        <f t="shared" si="16"/>
        <v>0</v>
      </c>
      <c r="AL54" s="71">
        <f t="shared" si="16"/>
        <v>0</v>
      </c>
      <c r="AM54" s="71">
        <f t="shared" si="16"/>
        <v>0</v>
      </c>
      <c r="AN54" s="71">
        <f t="shared" si="16"/>
        <v>0</v>
      </c>
      <c r="AO54" s="71">
        <f t="shared" si="16"/>
        <v>2.133333333333552E-5</v>
      </c>
      <c r="AP54" s="71">
        <f t="shared" si="16"/>
        <v>5.7600000000002072E-4</v>
      </c>
      <c r="AQ54" s="71">
        <f t="shared" si="16"/>
        <v>2.6666666666667269E-3</v>
      </c>
      <c r="AR54" s="71">
        <f t="shared" si="16"/>
        <v>7.3173333333334568E-3</v>
      </c>
      <c r="AS54" s="71">
        <f t="shared" si="16"/>
        <v>1.5552000000000213E-2</v>
      </c>
      <c r="AT54" s="71">
        <f t="shared" si="16"/>
        <v>2.8394666666667002E-2</v>
      </c>
      <c r="AU54" s="71">
        <f t="shared" si="16"/>
        <v>4.6869333333333818E-2</v>
      </c>
      <c r="AV54" s="71">
        <f t="shared" si="16"/>
        <v>7.2000000000000675E-2</v>
      </c>
      <c r="AW54" s="71">
        <f t="shared" si="16"/>
        <v>0.10481066666666757</v>
      </c>
      <c r="AX54" s="71">
        <f t="shared" si="16"/>
        <v>0.14632533333333447</v>
      </c>
      <c r="AY54" s="71">
        <f t="shared" si="16"/>
        <v>0.19756800000000144</v>
      </c>
      <c r="AZ54" s="71">
        <f t="shared" si="16"/>
        <v>0.2595626666666685</v>
      </c>
      <c r="BA54" s="71">
        <f t="shared" si="16"/>
        <v>0.33333333333333509</v>
      </c>
      <c r="BB54" s="71">
        <f t="shared" si="16"/>
        <v>0.41990400000000222</v>
      </c>
      <c r="BC54" s="71">
        <f t="shared" si="16"/>
        <v>0.52029866666666924</v>
      </c>
      <c r="BD54" s="71">
        <f t="shared" si="16"/>
        <v>0.6355413333333364</v>
      </c>
      <c r="BE54" s="71">
        <f t="shared" si="16"/>
        <v>0.76665600000000367</v>
      </c>
      <c r="BF54" s="71">
        <f t="shared" si="16"/>
        <v>0.91466666666667085</v>
      </c>
      <c r="BG54" s="71">
        <f t="shared" si="16"/>
        <v>1.0805973333333381</v>
      </c>
      <c r="BH54" s="71">
        <f t="shared" si="16"/>
        <v>1.2654720000000057</v>
      </c>
      <c r="BI54" s="71">
        <f t="shared" si="16"/>
        <v>1.4703146666666729</v>
      </c>
      <c r="BJ54" s="71">
        <f t="shared" si="16"/>
        <v>1.6961493333333404</v>
      </c>
      <c r="BK54" s="71">
        <f t="shared" si="16"/>
        <v>1.9440000000000082</v>
      </c>
      <c r="BL54" s="71">
        <f t="shared" si="16"/>
        <v>2.2148906666666757</v>
      </c>
      <c r="BM54" s="71">
        <f t="shared" si="16"/>
        <v>2.5098453333333435</v>
      </c>
      <c r="BN54" s="71">
        <f t="shared" si="16"/>
        <v>2.8298880000000111</v>
      </c>
      <c r="BO54" s="71">
        <f t="shared" ref="BO54:CY54" si="17">IF(BO47&gt;PosPLa1,PLa1d*(BO47-PosPLa1)^3/6,0)</f>
        <v>3.1760426666666794</v>
      </c>
      <c r="BP54" s="71">
        <f t="shared" si="17"/>
        <v>3.549333333333347</v>
      </c>
      <c r="BQ54" s="71">
        <f t="shared" si="17"/>
        <v>3.9507840000000152</v>
      </c>
      <c r="BR54" s="71">
        <f t="shared" si="17"/>
        <v>4.3814186666666828</v>
      </c>
      <c r="BS54" s="71">
        <f t="shared" si="17"/>
        <v>4.8422613333333517</v>
      </c>
      <c r="BT54" s="71">
        <f t="shared" si="17"/>
        <v>5.3343360000000191</v>
      </c>
      <c r="BU54" s="71">
        <f t="shared" si="17"/>
        <v>5.8586666666666884</v>
      </c>
      <c r="BV54" s="71">
        <f t="shared" si="17"/>
        <v>6.4162773333333574</v>
      </c>
      <c r="BW54" s="71">
        <f t="shared" si="17"/>
        <v>7.0081920000000251</v>
      </c>
      <c r="BX54" s="71">
        <f t="shared" si="17"/>
        <v>7.6354346666666943</v>
      </c>
      <c r="BY54" s="71">
        <f t="shared" si="17"/>
        <v>8.2990293333333636</v>
      </c>
      <c r="BZ54" s="71">
        <f t="shared" si="17"/>
        <v>9.000000000000032</v>
      </c>
      <c r="CA54" s="71">
        <f t="shared" si="17"/>
        <v>9.7393706666667015</v>
      </c>
      <c r="CB54" s="71">
        <f t="shared" si="17"/>
        <v>10.51816533333337</v>
      </c>
      <c r="CC54" s="71">
        <f t="shared" si="17"/>
        <v>11.337408000000041</v>
      </c>
      <c r="CD54" s="71">
        <f t="shared" si="17"/>
        <v>12.198122666666711</v>
      </c>
      <c r="CE54" s="71">
        <f t="shared" si="17"/>
        <v>13.101333333333379</v>
      </c>
      <c r="CF54" s="71">
        <f t="shared" si="17"/>
        <v>14.048064000000046</v>
      </c>
      <c r="CG54" s="71">
        <f t="shared" si="17"/>
        <v>15.039338666666717</v>
      </c>
      <c r="CH54" s="71">
        <f t="shared" si="17"/>
        <v>16.076181333333388</v>
      </c>
      <c r="CI54" s="71">
        <f t="shared" si="17"/>
        <v>17.15961600000006</v>
      </c>
      <c r="CJ54" s="71">
        <f t="shared" si="17"/>
        <v>18.290666666666727</v>
      </c>
      <c r="CK54" s="71">
        <f t="shared" si="17"/>
        <v>19.4703573333334</v>
      </c>
      <c r="CL54" s="71">
        <f t="shared" si="17"/>
        <v>20.699712000000069</v>
      </c>
      <c r="CM54" s="71">
        <f t="shared" si="17"/>
        <v>21.979754666666739</v>
      </c>
      <c r="CN54" s="71">
        <f t="shared" si="17"/>
        <v>23.311509333333415</v>
      </c>
      <c r="CO54" s="71">
        <f t="shared" si="17"/>
        <v>24.696000000000083</v>
      </c>
      <c r="CP54" s="71">
        <f t="shared" si="17"/>
        <v>26.134250666666748</v>
      </c>
      <c r="CQ54" s="71">
        <f t="shared" si="17"/>
        <v>27.627285333333422</v>
      </c>
      <c r="CR54" s="71">
        <f t="shared" si="17"/>
        <v>29.176128000000094</v>
      </c>
      <c r="CS54" s="71">
        <f t="shared" si="17"/>
        <v>30.781802666666767</v>
      </c>
      <c r="CT54" s="71">
        <f t="shared" si="17"/>
        <v>32.445333333333444</v>
      </c>
      <c r="CU54" s="71">
        <f t="shared" si="17"/>
        <v>34.167744000000106</v>
      </c>
      <c r="CV54" s="71">
        <f t="shared" si="17"/>
        <v>35.950058666666784</v>
      </c>
      <c r="CW54" s="71">
        <f t="shared" si="17"/>
        <v>37.793301333333453</v>
      </c>
      <c r="CX54" s="71">
        <f t="shared" si="17"/>
        <v>39.698496000000127</v>
      </c>
      <c r="CY54" s="71">
        <f t="shared" si="17"/>
        <v>41.666666666666799</v>
      </c>
      <c r="CZ54" s="2"/>
      <c r="DA54" s="2"/>
    </row>
    <row r="55" spans="2:105">
      <c r="B55" s="3" t="s">
        <v>49</v>
      </c>
      <c r="C55" s="71">
        <f t="shared" ref="C55:AH55" si="18">IF(C47&gt;PosPLb1,PLb1d*(C47-PosPLb1)^3/6,0)</f>
        <v>0</v>
      </c>
      <c r="D55" s="71">
        <f t="shared" si="18"/>
        <v>0</v>
      </c>
      <c r="E55" s="71">
        <f t="shared" si="18"/>
        <v>0</v>
      </c>
      <c r="F55" s="71">
        <f t="shared" si="18"/>
        <v>0</v>
      </c>
      <c r="G55" s="71">
        <f t="shared" si="18"/>
        <v>0</v>
      </c>
      <c r="H55" s="71">
        <f t="shared" si="18"/>
        <v>0</v>
      </c>
      <c r="I55" s="71">
        <f t="shared" si="18"/>
        <v>0</v>
      </c>
      <c r="J55" s="71">
        <f t="shared" si="18"/>
        <v>0</v>
      </c>
      <c r="K55" s="71">
        <f t="shared" si="18"/>
        <v>0</v>
      </c>
      <c r="L55" s="71">
        <f t="shared" si="18"/>
        <v>0</v>
      </c>
      <c r="M55" s="71">
        <f t="shared" si="18"/>
        <v>0</v>
      </c>
      <c r="N55" s="71">
        <f t="shared" si="18"/>
        <v>0</v>
      </c>
      <c r="O55" s="71">
        <f t="shared" si="18"/>
        <v>0</v>
      </c>
      <c r="P55" s="71">
        <f t="shared" si="18"/>
        <v>0</v>
      </c>
      <c r="Q55" s="71">
        <f t="shared" si="18"/>
        <v>0</v>
      </c>
      <c r="R55" s="71">
        <f t="shared" si="18"/>
        <v>0</v>
      </c>
      <c r="S55" s="71">
        <f t="shared" si="18"/>
        <v>0</v>
      </c>
      <c r="T55" s="71">
        <f t="shared" si="18"/>
        <v>0</v>
      </c>
      <c r="U55" s="71">
        <f t="shared" si="18"/>
        <v>0</v>
      </c>
      <c r="V55" s="71">
        <f t="shared" si="18"/>
        <v>0</v>
      </c>
      <c r="W55" s="71">
        <f t="shared" si="18"/>
        <v>0</v>
      </c>
      <c r="X55" s="71">
        <f t="shared" si="18"/>
        <v>0</v>
      </c>
      <c r="Y55" s="71">
        <f t="shared" si="18"/>
        <v>0</v>
      </c>
      <c r="Z55" s="71">
        <f t="shared" si="18"/>
        <v>0</v>
      </c>
      <c r="AA55" s="71">
        <f t="shared" si="18"/>
        <v>0</v>
      </c>
      <c r="AB55" s="71">
        <f t="shared" si="18"/>
        <v>0</v>
      </c>
      <c r="AC55" s="71">
        <f t="shared" si="18"/>
        <v>0</v>
      </c>
      <c r="AD55" s="71">
        <f t="shared" si="18"/>
        <v>0</v>
      </c>
      <c r="AE55" s="71">
        <f t="shared" si="18"/>
        <v>0</v>
      </c>
      <c r="AF55" s="71">
        <f t="shared" si="18"/>
        <v>0</v>
      </c>
      <c r="AG55" s="71">
        <f t="shared" si="18"/>
        <v>0</v>
      </c>
      <c r="AH55" s="71">
        <f t="shared" si="18"/>
        <v>0</v>
      </c>
      <c r="AI55" s="71">
        <f t="shared" ref="AI55:BN55" si="19">IF(AI47&gt;PosPLb1,PLb1d*(AI47-PosPLb1)^3/6,0)</f>
        <v>0</v>
      </c>
      <c r="AJ55" s="71">
        <f t="shared" si="19"/>
        <v>0</v>
      </c>
      <c r="AK55" s="71">
        <f t="shared" si="19"/>
        <v>0</v>
      </c>
      <c r="AL55" s="71">
        <f t="shared" si="19"/>
        <v>0</v>
      </c>
      <c r="AM55" s="71">
        <f t="shared" si="19"/>
        <v>0</v>
      </c>
      <c r="AN55" s="71">
        <f t="shared" si="19"/>
        <v>0</v>
      </c>
      <c r="AO55" s="71">
        <f t="shared" si="19"/>
        <v>0</v>
      </c>
      <c r="AP55" s="71">
        <f t="shared" si="19"/>
        <v>0</v>
      </c>
      <c r="AQ55" s="71">
        <f t="shared" si="19"/>
        <v>0</v>
      </c>
      <c r="AR55" s="71">
        <f t="shared" si="19"/>
        <v>0</v>
      </c>
      <c r="AS55" s="71">
        <f t="shared" si="19"/>
        <v>0</v>
      </c>
      <c r="AT55" s="71">
        <f t="shared" si="19"/>
        <v>0</v>
      </c>
      <c r="AU55" s="71">
        <f t="shared" si="19"/>
        <v>0</v>
      </c>
      <c r="AV55" s="71">
        <f t="shared" si="19"/>
        <v>0</v>
      </c>
      <c r="AW55" s="71">
        <f t="shared" si="19"/>
        <v>0</v>
      </c>
      <c r="AX55" s="71">
        <f t="shared" si="19"/>
        <v>0</v>
      </c>
      <c r="AY55" s="71">
        <f t="shared" si="19"/>
        <v>0</v>
      </c>
      <c r="AZ55" s="71">
        <f t="shared" si="19"/>
        <v>0</v>
      </c>
      <c r="BA55" s="71">
        <f t="shared" si="19"/>
        <v>0</v>
      </c>
      <c r="BB55" s="71">
        <f t="shared" si="19"/>
        <v>0</v>
      </c>
      <c r="BC55" s="71">
        <f t="shared" si="19"/>
        <v>0</v>
      </c>
      <c r="BD55" s="71">
        <f t="shared" si="19"/>
        <v>0</v>
      </c>
      <c r="BE55" s="71">
        <f t="shared" si="19"/>
        <v>0</v>
      </c>
      <c r="BF55" s="71">
        <f t="shared" si="19"/>
        <v>0</v>
      </c>
      <c r="BG55" s="71">
        <f t="shared" si="19"/>
        <v>0</v>
      </c>
      <c r="BH55" s="71">
        <f t="shared" si="19"/>
        <v>0</v>
      </c>
      <c r="BI55" s="71">
        <f t="shared" si="19"/>
        <v>0</v>
      </c>
      <c r="BJ55" s="71">
        <f t="shared" si="19"/>
        <v>0</v>
      </c>
      <c r="BK55" s="71">
        <f t="shared" si="19"/>
        <v>0</v>
      </c>
      <c r="BL55" s="71">
        <f t="shared" si="19"/>
        <v>0</v>
      </c>
      <c r="BM55" s="71">
        <f t="shared" si="19"/>
        <v>0</v>
      </c>
      <c r="BN55" s="71">
        <f t="shared" si="19"/>
        <v>0</v>
      </c>
      <c r="BO55" s="71">
        <f t="shared" ref="BO55:CY55" si="20">IF(BO47&gt;PosPLb1,PLb1d*(BO47-PosPLb1)^3/6,0)</f>
        <v>0</v>
      </c>
      <c r="BP55" s="71">
        <f t="shared" si="20"/>
        <v>0</v>
      </c>
      <c r="BQ55" s="71">
        <f t="shared" si="20"/>
        <v>0</v>
      </c>
      <c r="BR55" s="71">
        <f t="shared" si="20"/>
        <v>0</v>
      </c>
      <c r="BS55" s="71">
        <f t="shared" si="20"/>
        <v>0</v>
      </c>
      <c r="BT55" s="71">
        <f t="shared" si="20"/>
        <v>0</v>
      </c>
      <c r="BU55" s="71">
        <f t="shared" si="20"/>
        <v>0</v>
      </c>
      <c r="BV55" s="71">
        <f t="shared" si="20"/>
        <v>0</v>
      </c>
      <c r="BW55" s="71">
        <f t="shared" si="20"/>
        <v>0</v>
      </c>
      <c r="BX55" s="71">
        <f t="shared" si="20"/>
        <v>0</v>
      </c>
      <c r="BY55" s="71">
        <f t="shared" si="20"/>
        <v>0</v>
      </c>
      <c r="BZ55" s="71">
        <f t="shared" si="20"/>
        <v>0</v>
      </c>
      <c r="CA55" s="71">
        <f t="shared" si="20"/>
        <v>0</v>
      </c>
      <c r="CB55" s="71">
        <f t="shared" si="20"/>
        <v>0</v>
      </c>
      <c r="CC55" s="71">
        <f t="shared" si="20"/>
        <v>0</v>
      </c>
      <c r="CD55" s="71">
        <f t="shared" si="20"/>
        <v>0</v>
      </c>
      <c r="CE55" s="71">
        <f t="shared" si="20"/>
        <v>0</v>
      </c>
      <c r="CF55" s="71">
        <f t="shared" si="20"/>
        <v>0</v>
      </c>
      <c r="CG55" s="71">
        <f t="shared" si="20"/>
        <v>0</v>
      </c>
      <c r="CH55" s="71">
        <f t="shared" si="20"/>
        <v>0</v>
      </c>
      <c r="CI55" s="71">
        <f t="shared" si="20"/>
        <v>0</v>
      </c>
      <c r="CJ55" s="71">
        <f t="shared" si="20"/>
        <v>0</v>
      </c>
      <c r="CK55" s="71">
        <f t="shared" si="20"/>
        <v>0</v>
      </c>
      <c r="CL55" s="71">
        <f t="shared" si="20"/>
        <v>0</v>
      </c>
      <c r="CM55" s="71">
        <f t="shared" si="20"/>
        <v>0</v>
      </c>
      <c r="CN55" s="71">
        <f t="shared" si="20"/>
        <v>0</v>
      </c>
      <c r="CO55" s="71">
        <f t="shared" si="20"/>
        <v>0</v>
      </c>
      <c r="CP55" s="71">
        <f t="shared" si="20"/>
        <v>0</v>
      </c>
      <c r="CQ55" s="71">
        <f t="shared" si="20"/>
        <v>0</v>
      </c>
      <c r="CR55" s="71">
        <f t="shared" si="20"/>
        <v>0</v>
      </c>
      <c r="CS55" s="71">
        <f t="shared" si="20"/>
        <v>0</v>
      </c>
      <c r="CT55" s="71">
        <f t="shared" si="20"/>
        <v>0</v>
      </c>
      <c r="CU55" s="71">
        <f t="shared" si="20"/>
        <v>0</v>
      </c>
      <c r="CV55" s="71">
        <f t="shared" si="20"/>
        <v>0</v>
      </c>
      <c r="CW55" s="71">
        <f t="shared" si="20"/>
        <v>0</v>
      </c>
      <c r="CX55" s="71">
        <f t="shared" si="20"/>
        <v>0</v>
      </c>
      <c r="CY55" s="71">
        <f t="shared" si="20"/>
        <v>0</v>
      </c>
      <c r="CZ55" s="2"/>
      <c r="DA55" s="2"/>
    </row>
    <row r="56" spans="2:105">
      <c r="B56" s="3" t="s">
        <v>50</v>
      </c>
      <c r="C56" s="71">
        <f>$D$58*C47+$D$59</f>
        <v>0</v>
      </c>
      <c r="D56" s="72">
        <f t="shared" ref="D56:BO56" si="21">$D$58*D47+$D$59</f>
        <v>8.372900000000012</v>
      </c>
      <c r="E56" s="72">
        <f t="shared" si="21"/>
        <v>16.745800000000024</v>
      </c>
      <c r="F56" s="72">
        <f t="shared" si="21"/>
        <v>25.118700000000032</v>
      </c>
      <c r="G56" s="72">
        <f t="shared" si="21"/>
        <v>33.491600000000048</v>
      </c>
      <c r="H56" s="72">
        <f t="shared" si="21"/>
        <v>41.864500000000056</v>
      </c>
      <c r="I56" s="72">
        <f t="shared" si="21"/>
        <v>50.237400000000072</v>
      </c>
      <c r="J56" s="72">
        <f t="shared" si="21"/>
        <v>58.61030000000008</v>
      </c>
      <c r="K56" s="72">
        <f t="shared" si="21"/>
        <v>66.983200000000096</v>
      </c>
      <c r="L56" s="72">
        <f t="shared" si="21"/>
        <v>75.356100000000097</v>
      </c>
      <c r="M56" s="72">
        <f t="shared" si="21"/>
        <v>83.729000000000099</v>
      </c>
      <c r="N56" s="72">
        <f t="shared" si="21"/>
        <v>92.101900000000114</v>
      </c>
      <c r="O56" s="72">
        <f t="shared" si="21"/>
        <v>100.47480000000012</v>
      </c>
      <c r="P56" s="72">
        <f t="shared" si="21"/>
        <v>108.84770000000012</v>
      </c>
      <c r="Q56" s="72">
        <f t="shared" si="21"/>
        <v>117.22060000000015</v>
      </c>
      <c r="R56" s="72">
        <f t="shared" si="21"/>
        <v>125.59350000000016</v>
      </c>
      <c r="S56" s="72">
        <f t="shared" si="21"/>
        <v>133.96640000000019</v>
      </c>
      <c r="T56" s="72">
        <f t="shared" si="21"/>
        <v>142.33930000000021</v>
      </c>
      <c r="U56" s="72">
        <f t="shared" si="21"/>
        <v>150.71220000000022</v>
      </c>
      <c r="V56" s="72">
        <f t="shared" si="21"/>
        <v>159.08510000000024</v>
      </c>
      <c r="W56" s="72">
        <f t="shared" si="21"/>
        <v>167.45800000000025</v>
      </c>
      <c r="X56" s="72">
        <f t="shared" si="21"/>
        <v>175.83090000000027</v>
      </c>
      <c r="Y56" s="72">
        <f t="shared" si="21"/>
        <v>184.20380000000029</v>
      </c>
      <c r="Z56" s="72">
        <f t="shared" si="21"/>
        <v>192.5767000000003</v>
      </c>
      <c r="AA56" s="72">
        <f t="shared" si="21"/>
        <v>200.94960000000032</v>
      </c>
      <c r="AB56" s="72">
        <f t="shared" si="21"/>
        <v>209.32250000000033</v>
      </c>
      <c r="AC56" s="72">
        <f t="shared" si="21"/>
        <v>217.69540000000035</v>
      </c>
      <c r="AD56" s="72">
        <f t="shared" si="21"/>
        <v>226.06830000000036</v>
      </c>
      <c r="AE56" s="72">
        <f t="shared" si="21"/>
        <v>234.44120000000038</v>
      </c>
      <c r="AF56" s="72">
        <f t="shared" si="21"/>
        <v>242.81410000000039</v>
      </c>
      <c r="AG56" s="72">
        <f t="shared" si="21"/>
        <v>251.18700000000041</v>
      </c>
      <c r="AH56" s="72">
        <f t="shared" si="21"/>
        <v>259.55990000000043</v>
      </c>
      <c r="AI56" s="72">
        <f t="shared" si="21"/>
        <v>267.93280000000044</v>
      </c>
      <c r="AJ56" s="72">
        <f t="shared" si="21"/>
        <v>276.30570000000046</v>
      </c>
      <c r="AK56" s="72">
        <f t="shared" si="21"/>
        <v>284.67860000000047</v>
      </c>
      <c r="AL56" s="72">
        <f t="shared" si="21"/>
        <v>293.05150000000049</v>
      </c>
      <c r="AM56" s="72">
        <f t="shared" si="21"/>
        <v>301.4244000000005</v>
      </c>
      <c r="AN56" s="72">
        <f t="shared" si="21"/>
        <v>309.79730000000052</v>
      </c>
      <c r="AO56" s="72">
        <f t="shared" si="21"/>
        <v>318.17020000000053</v>
      </c>
      <c r="AP56" s="72">
        <f t="shared" si="21"/>
        <v>326.54310000000061</v>
      </c>
      <c r="AQ56" s="72">
        <f t="shared" si="21"/>
        <v>334.91600000000062</v>
      </c>
      <c r="AR56" s="72">
        <f t="shared" si="21"/>
        <v>343.28890000000064</v>
      </c>
      <c r="AS56" s="72">
        <f t="shared" si="21"/>
        <v>351.66180000000065</v>
      </c>
      <c r="AT56" s="72">
        <f t="shared" si="21"/>
        <v>360.03470000000067</v>
      </c>
      <c r="AU56" s="72">
        <f t="shared" si="21"/>
        <v>368.40760000000068</v>
      </c>
      <c r="AV56" s="72">
        <f t="shared" si="21"/>
        <v>376.7805000000007</v>
      </c>
      <c r="AW56" s="72">
        <f t="shared" si="21"/>
        <v>385.15340000000072</v>
      </c>
      <c r="AX56" s="72">
        <f t="shared" si="21"/>
        <v>393.52630000000073</v>
      </c>
      <c r="AY56" s="72">
        <f t="shared" si="21"/>
        <v>401.89920000000075</v>
      </c>
      <c r="AZ56" s="72">
        <f t="shared" si="21"/>
        <v>410.27210000000076</v>
      </c>
      <c r="BA56" s="72">
        <f t="shared" si="21"/>
        <v>418.64500000000072</v>
      </c>
      <c r="BB56" s="72">
        <f t="shared" si="21"/>
        <v>427.01790000000074</v>
      </c>
      <c r="BC56" s="72">
        <f t="shared" si="21"/>
        <v>435.39080000000075</v>
      </c>
      <c r="BD56" s="72">
        <f t="shared" si="21"/>
        <v>443.76370000000077</v>
      </c>
      <c r="BE56" s="72">
        <f t="shared" si="21"/>
        <v>452.13660000000078</v>
      </c>
      <c r="BF56" s="72">
        <f t="shared" si="21"/>
        <v>460.50950000000086</v>
      </c>
      <c r="BG56" s="72">
        <f t="shared" si="21"/>
        <v>468.88240000000087</v>
      </c>
      <c r="BH56" s="72">
        <f t="shared" si="21"/>
        <v>477.25530000000089</v>
      </c>
      <c r="BI56" s="72">
        <f t="shared" si="21"/>
        <v>485.6282000000009</v>
      </c>
      <c r="BJ56" s="72">
        <f t="shared" si="21"/>
        <v>494.00110000000092</v>
      </c>
      <c r="BK56" s="72">
        <f t="shared" si="21"/>
        <v>502.37400000000093</v>
      </c>
      <c r="BL56" s="72">
        <f t="shared" si="21"/>
        <v>510.74690000000095</v>
      </c>
      <c r="BM56" s="72">
        <f t="shared" si="21"/>
        <v>519.11980000000096</v>
      </c>
      <c r="BN56" s="72">
        <f t="shared" si="21"/>
        <v>527.49270000000092</v>
      </c>
      <c r="BO56" s="72">
        <f t="shared" si="21"/>
        <v>535.865600000001</v>
      </c>
      <c r="BP56" s="72">
        <f t="shared" ref="BP56:CY56" si="22">$D$58*BP47+$D$59</f>
        <v>544.23850000000107</v>
      </c>
      <c r="BQ56" s="72">
        <f t="shared" si="22"/>
        <v>552.61140000000103</v>
      </c>
      <c r="BR56" s="72">
        <f t="shared" si="22"/>
        <v>560.9843000000011</v>
      </c>
      <c r="BS56" s="72">
        <f t="shared" si="22"/>
        <v>569.35720000000106</v>
      </c>
      <c r="BT56" s="72">
        <f t="shared" si="22"/>
        <v>577.73010000000113</v>
      </c>
      <c r="BU56" s="72">
        <f t="shared" si="22"/>
        <v>586.10300000000109</v>
      </c>
      <c r="BV56" s="72">
        <f t="shared" si="22"/>
        <v>594.47590000000116</v>
      </c>
      <c r="BW56" s="72">
        <f t="shared" si="22"/>
        <v>602.84880000000112</v>
      </c>
      <c r="BX56" s="72">
        <f t="shared" si="22"/>
        <v>611.22170000000119</v>
      </c>
      <c r="BY56" s="72">
        <f t="shared" si="22"/>
        <v>619.59460000000115</v>
      </c>
      <c r="BZ56" s="72">
        <f t="shared" si="22"/>
        <v>627.96750000000122</v>
      </c>
      <c r="CA56" s="72">
        <f t="shared" si="22"/>
        <v>636.34040000000118</v>
      </c>
      <c r="CB56" s="72">
        <f t="shared" si="22"/>
        <v>644.71330000000125</v>
      </c>
      <c r="CC56" s="72">
        <f t="shared" si="22"/>
        <v>653.08620000000121</v>
      </c>
      <c r="CD56" s="72">
        <f t="shared" si="22"/>
        <v>661.45910000000129</v>
      </c>
      <c r="CE56" s="72">
        <f t="shared" si="22"/>
        <v>669.83200000000124</v>
      </c>
      <c r="CF56" s="72">
        <f t="shared" si="22"/>
        <v>678.20490000000132</v>
      </c>
      <c r="CG56" s="72">
        <f t="shared" si="22"/>
        <v>686.57780000000128</v>
      </c>
      <c r="CH56" s="72">
        <f t="shared" si="22"/>
        <v>694.95070000000135</v>
      </c>
      <c r="CI56" s="72">
        <f t="shared" si="22"/>
        <v>703.32360000000131</v>
      </c>
      <c r="CJ56" s="72">
        <f t="shared" si="22"/>
        <v>711.69650000000138</v>
      </c>
      <c r="CK56" s="72">
        <f t="shared" si="22"/>
        <v>720.06940000000145</v>
      </c>
      <c r="CL56" s="72">
        <f t="shared" si="22"/>
        <v>728.44230000000141</v>
      </c>
      <c r="CM56" s="72">
        <f t="shared" si="22"/>
        <v>736.81520000000148</v>
      </c>
      <c r="CN56" s="72">
        <f t="shared" si="22"/>
        <v>745.18810000000144</v>
      </c>
      <c r="CO56" s="72">
        <f t="shared" si="22"/>
        <v>753.56100000000151</v>
      </c>
      <c r="CP56" s="72">
        <f t="shared" si="22"/>
        <v>761.93390000000147</v>
      </c>
      <c r="CQ56" s="72">
        <f t="shared" si="22"/>
        <v>770.30680000000154</v>
      </c>
      <c r="CR56" s="72">
        <f t="shared" si="22"/>
        <v>778.6797000000015</v>
      </c>
      <c r="CS56" s="72">
        <f t="shared" si="22"/>
        <v>787.05260000000158</v>
      </c>
      <c r="CT56" s="72">
        <f t="shared" si="22"/>
        <v>795.42550000000153</v>
      </c>
      <c r="CU56" s="72">
        <f t="shared" si="22"/>
        <v>803.79840000000161</v>
      </c>
      <c r="CV56" s="72">
        <f t="shared" si="22"/>
        <v>812.17130000000157</v>
      </c>
      <c r="CW56" s="72">
        <f t="shared" si="22"/>
        <v>820.54420000000164</v>
      </c>
      <c r="CX56" s="72">
        <f t="shared" si="22"/>
        <v>828.9171000000016</v>
      </c>
      <c r="CY56" s="72">
        <f t="shared" si="22"/>
        <v>837.29000000000167</v>
      </c>
      <c r="CZ56" s="2"/>
      <c r="DA56" s="72">
        <f>SUM(CY48:CY55)</f>
        <v>-837.2900000000011</v>
      </c>
    </row>
    <row r="57" spans="2:105">
      <c r="B57" s="3"/>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2"/>
      <c r="DA57" s="72"/>
    </row>
    <row r="58" spans="2:105">
      <c r="B58" s="77"/>
      <c r="C58" s="73" t="s">
        <v>52</v>
      </c>
      <c r="D58" s="74">
        <f>-DA56/8</f>
        <v>104.66125000000014</v>
      </c>
      <c r="E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2"/>
      <c r="DA58" s="72"/>
    </row>
    <row r="59" spans="2:105">
      <c r="B59" s="78"/>
      <c r="C59" s="75" t="s">
        <v>53</v>
      </c>
      <c r="D59" s="76">
        <v>0</v>
      </c>
      <c r="E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2"/>
      <c r="DA59" s="72"/>
    </row>
    <row r="61" spans="2:105">
      <c r="B61" s="2"/>
      <c r="C61" s="70" t="s">
        <v>55</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row>
    <row r="62" spans="2:105">
      <c r="B62" s="56" t="s">
        <v>36</v>
      </c>
      <c r="C62" s="63">
        <v>0</v>
      </c>
      <c r="D62" s="64">
        <f>8/100</f>
        <v>0.08</v>
      </c>
      <c r="E62" s="64">
        <f>D62+8/100</f>
        <v>0.16</v>
      </c>
      <c r="F62" s="64">
        <f>E62+8/100</f>
        <v>0.24</v>
      </c>
      <c r="G62" s="64">
        <f>F62+8/100</f>
        <v>0.32</v>
      </c>
      <c r="H62" s="64">
        <f>G62+8/100</f>
        <v>0.4</v>
      </c>
      <c r="I62" s="64">
        <f>H62+8/100</f>
        <v>0.48000000000000004</v>
      </c>
      <c r="J62" s="64">
        <f>I62+8/100</f>
        <v>0.56000000000000005</v>
      </c>
      <c r="K62" s="64">
        <f>J62+8/100</f>
        <v>0.64</v>
      </c>
      <c r="L62" s="64">
        <f>K62+8/100</f>
        <v>0.72</v>
      </c>
      <c r="M62" s="64">
        <f>L62+8/100</f>
        <v>0.79999999999999993</v>
      </c>
      <c r="N62" s="64">
        <f>M62+8/100</f>
        <v>0.87999999999999989</v>
      </c>
      <c r="O62" s="64">
        <f>N62+8/100</f>
        <v>0.95999999999999985</v>
      </c>
      <c r="P62" s="64">
        <f>O62+8/100</f>
        <v>1.0399999999999998</v>
      </c>
      <c r="Q62" s="64">
        <f>P62+8/100</f>
        <v>1.1199999999999999</v>
      </c>
      <c r="R62" s="64">
        <f>Q62+8/100</f>
        <v>1.2</v>
      </c>
      <c r="S62" s="64">
        <f>R62+8/100</f>
        <v>1.28</v>
      </c>
      <c r="T62" s="64">
        <f>S62+8/100</f>
        <v>1.36</v>
      </c>
      <c r="U62" s="64">
        <f>T62+8/100</f>
        <v>1.4400000000000002</v>
      </c>
      <c r="V62" s="64">
        <f>U62+8/100</f>
        <v>1.5200000000000002</v>
      </c>
      <c r="W62" s="64">
        <f>V62+8/100</f>
        <v>1.6000000000000003</v>
      </c>
      <c r="X62" s="64">
        <f>W62+8/100</f>
        <v>1.6800000000000004</v>
      </c>
      <c r="Y62" s="64">
        <f>X62+8/100</f>
        <v>1.7600000000000005</v>
      </c>
      <c r="Z62" s="64">
        <f>Y62+8/100</f>
        <v>1.8400000000000005</v>
      </c>
      <c r="AA62" s="64">
        <f>Z62+8/100</f>
        <v>1.9200000000000006</v>
      </c>
      <c r="AB62" s="64">
        <f>AA62+8/100</f>
        <v>2.0000000000000004</v>
      </c>
      <c r="AC62" s="64">
        <f>AB62+8/100</f>
        <v>2.0800000000000005</v>
      </c>
      <c r="AD62" s="64">
        <f>AC62+8/100</f>
        <v>2.1600000000000006</v>
      </c>
      <c r="AE62" s="64">
        <f>AD62+8/100</f>
        <v>2.2400000000000007</v>
      </c>
      <c r="AF62" s="64">
        <f>AE62+8/100</f>
        <v>2.3200000000000007</v>
      </c>
      <c r="AG62" s="64">
        <f>AF62+8/100</f>
        <v>2.4000000000000008</v>
      </c>
      <c r="AH62" s="64">
        <f>AG62+8/100</f>
        <v>2.4800000000000009</v>
      </c>
      <c r="AI62" s="64">
        <f>AH62+8/100</f>
        <v>2.5600000000000009</v>
      </c>
      <c r="AJ62" s="64">
        <f>AI62+8/100</f>
        <v>2.640000000000001</v>
      </c>
      <c r="AK62" s="64">
        <f>AJ62+8/100</f>
        <v>2.7200000000000011</v>
      </c>
      <c r="AL62" s="64">
        <f>AK62+8/100</f>
        <v>2.8000000000000012</v>
      </c>
      <c r="AM62" s="64">
        <f>AL62+8/100</f>
        <v>2.8800000000000012</v>
      </c>
      <c r="AN62" s="64">
        <f>AM62+8/100</f>
        <v>2.9600000000000013</v>
      </c>
      <c r="AO62" s="64">
        <f>AN62+8/100</f>
        <v>3.0400000000000014</v>
      </c>
      <c r="AP62" s="64">
        <f>AO62+8/100</f>
        <v>3.1200000000000014</v>
      </c>
      <c r="AQ62" s="64">
        <f>AP62+8/100</f>
        <v>3.2000000000000015</v>
      </c>
      <c r="AR62" s="64">
        <f>AQ62+8/100</f>
        <v>3.2800000000000016</v>
      </c>
      <c r="AS62" s="64">
        <f>AR62+8/100</f>
        <v>3.3600000000000017</v>
      </c>
      <c r="AT62" s="64">
        <f>AS62+8/100</f>
        <v>3.4400000000000017</v>
      </c>
      <c r="AU62" s="64">
        <f>AT62+8/100</f>
        <v>3.5200000000000018</v>
      </c>
      <c r="AV62" s="64">
        <f>AU62+8/100</f>
        <v>3.6000000000000019</v>
      </c>
      <c r="AW62" s="64">
        <f>AV62+8/100</f>
        <v>3.6800000000000019</v>
      </c>
      <c r="AX62" s="64">
        <f>AW62+8/100</f>
        <v>3.760000000000002</v>
      </c>
      <c r="AY62" s="64">
        <f>AX62+8/100</f>
        <v>3.8400000000000021</v>
      </c>
      <c r="AZ62" s="64">
        <f>AY62+8/100</f>
        <v>3.9200000000000021</v>
      </c>
      <c r="BA62" s="64">
        <f>AZ62+8/100</f>
        <v>4.0000000000000018</v>
      </c>
      <c r="BB62" s="64">
        <f>BA62+8/100</f>
        <v>4.0800000000000018</v>
      </c>
      <c r="BC62" s="64">
        <f>BB62+8/100</f>
        <v>4.1600000000000019</v>
      </c>
      <c r="BD62" s="64">
        <f>BC62+8/100</f>
        <v>4.240000000000002</v>
      </c>
      <c r="BE62" s="64">
        <f>BD62+8/100</f>
        <v>4.3200000000000021</v>
      </c>
      <c r="BF62" s="64">
        <f>BE62+8/100</f>
        <v>4.4000000000000021</v>
      </c>
      <c r="BG62" s="64">
        <f>BF62+8/100</f>
        <v>4.4800000000000022</v>
      </c>
      <c r="BH62" s="64">
        <f>BG62+8/100</f>
        <v>4.5600000000000023</v>
      </c>
      <c r="BI62" s="64">
        <f>BH62+8/100</f>
        <v>4.6400000000000023</v>
      </c>
      <c r="BJ62" s="64">
        <f>BI62+8/100</f>
        <v>4.7200000000000024</v>
      </c>
      <c r="BK62" s="64">
        <f>BJ62+8/100</f>
        <v>4.8000000000000025</v>
      </c>
      <c r="BL62" s="64">
        <f>BK62+8/100</f>
        <v>4.8800000000000026</v>
      </c>
      <c r="BM62" s="64">
        <f>BL62+8/100</f>
        <v>4.9600000000000026</v>
      </c>
      <c r="BN62" s="64">
        <f>BM62+8/100</f>
        <v>5.0400000000000027</v>
      </c>
      <c r="BO62" s="64">
        <f>BN62+8/100</f>
        <v>5.1200000000000028</v>
      </c>
      <c r="BP62" s="64">
        <f>BO62+8/100</f>
        <v>5.2000000000000028</v>
      </c>
      <c r="BQ62" s="64">
        <f>BP62+8/100</f>
        <v>5.2800000000000029</v>
      </c>
      <c r="BR62" s="64">
        <f>BQ62+8/100</f>
        <v>5.360000000000003</v>
      </c>
      <c r="BS62" s="64">
        <f>BR62+8/100</f>
        <v>5.4400000000000031</v>
      </c>
      <c r="BT62" s="64">
        <f>BS62+8/100</f>
        <v>5.5200000000000031</v>
      </c>
      <c r="BU62" s="64">
        <f>BT62+8/100</f>
        <v>5.6000000000000032</v>
      </c>
      <c r="BV62" s="64">
        <f>BU62+8/100</f>
        <v>5.6800000000000033</v>
      </c>
      <c r="BW62" s="64">
        <f>BV62+8/100</f>
        <v>5.7600000000000033</v>
      </c>
      <c r="BX62" s="64">
        <f>BW62+8/100</f>
        <v>5.8400000000000034</v>
      </c>
      <c r="BY62" s="64">
        <f>BX62+8/100</f>
        <v>5.9200000000000035</v>
      </c>
      <c r="BZ62" s="64">
        <f>BY62+8/100</f>
        <v>6.0000000000000036</v>
      </c>
      <c r="CA62" s="64">
        <f>BZ62+8/100</f>
        <v>6.0800000000000036</v>
      </c>
      <c r="CB62" s="64">
        <f>CA62+8/100</f>
        <v>6.1600000000000037</v>
      </c>
      <c r="CC62" s="64">
        <f>CB62+8/100</f>
        <v>6.2400000000000038</v>
      </c>
      <c r="CD62" s="64">
        <f>CC62+8/100</f>
        <v>6.3200000000000038</v>
      </c>
      <c r="CE62" s="64">
        <f>CD62+8/100</f>
        <v>6.4000000000000039</v>
      </c>
      <c r="CF62" s="64">
        <f>CE62+8/100</f>
        <v>6.480000000000004</v>
      </c>
      <c r="CG62" s="64">
        <f>CF62+8/100</f>
        <v>6.5600000000000041</v>
      </c>
      <c r="CH62" s="64">
        <f>CG62+8/100</f>
        <v>6.6400000000000041</v>
      </c>
      <c r="CI62" s="64">
        <f>CH62+8/100</f>
        <v>6.7200000000000042</v>
      </c>
      <c r="CJ62" s="64">
        <f>CI62+8/100</f>
        <v>6.8000000000000043</v>
      </c>
      <c r="CK62" s="64">
        <f>CJ62+8/100</f>
        <v>6.8800000000000043</v>
      </c>
      <c r="CL62" s="64">
        <f>CK62+8/100</f>
        <v>6.9600000000000044</v>
      </c>
      <c r="CM62" s="64">
        <f>CL62+8/100</f>
        <v>7.0400000000000045</v>
      </c>
      <c r="CN62" s="64">
        <f>CM62+8/100</f>
        <v>7.1200000000000045</v>
      </c>
      <c r="CO62" s="64">
        <f>CN62+8/100</f>
        <v>7.2000000000000046</v>
      </c>
      <c r="CP62" s="64">
        <f>CO62+8/100</f>
        <v>7.2800000000000047</v>
      </c>
      <c r="CQ62" s="64">
        <f>CP62+8/100</f>
        <v>7.3600000000000048</v>
      </c>
      <c r="CR62" s="64">
        <f>CQ62+8/100</f>
        <v>7.4400000000000048</v>
      </c>
      <c r="CS62" s="64">
        <f>CR62+8/100</f>
        <v>7.5200000000000049</v>
      </c>
      <c r="CT62" s="64">
        <f>CS62+8/100</f>
        <v>7.600000000000005</v>
      </c>
      <c r="CU62" s="64">
        <f>CT62+8/100</f>
        <v>7.680000000000005</v>
      </c>
      <c r="CV62" s="64">
        <f>CU62+8/100</f>
        <v>7.7600000000000051</v>
      </c>
      <c r="CW62" s="64">
        <f>CV62+8/100</f>
        <v>7.8400000000000052</v>
      </c>
      <c r="CX62" s="64">
        <f>CW62+8/100</f>
        <v>7.9200000000000053</v>
      </c>
      <c r="CY62" s="64">
        <f>CX62+8/100</f>
        <v>8.0000000000000053</v>
      </c>
      <c r="CZ62" s="2"/>
      <c r="DA62" s="2"/>
    </row>
    <row r="63" spans="2:105">
      <c r="B63" s="3" t="s">
        <v>47</v>
      </c>
      <c r="C63" s="71">
        <f t="shared" ref="C63:AH63" si="23">-RL1l*C62^3/6</f>
        <v>0</v>
      </c>
      <c r="D63" s="72">
        <f t="shared" si="23"/>
        <v>-9.6533333333333356E-4</v>
      </c>
      <c r="E63" s="72">
        <f t="shared" si="23"/>
        <v>-7.7226666666666685E-3</v>
      </c>
      <c r="F63" s="72">
        <f t="shared" si="23"/>
        <v>-2.6064E-2</v>
      </c>
      <c r="G63" s="72">
        <f t="shared" si="23"/>
        <v>-6.1781333333333348E-2</v>
      </c>
      <c r="H63" s="72">
        <f t="shared" si="23"/>
        <v>-0.1206666666666667</v>
      </c>
      <c r="I63" s="72">
        <f t="shared" si="23"/>
        <v>-0.20851200000000006</v>
      </c>
      <c r="J63" s="72">
        <f t="shared" si="23"/>
        <v>-0.33110933333333342</v>
      </c>
      <c r="K63" s="72">
        <f t="shared" si="23"/>
        <v>-0.49425066666666678</v>
      </c>
      <c r="L63" s="72">
        <f t="shared" si="23"/>
        <v>-0.70372799999999991</v>
      </c>
      <c r="M63" s="72">
        <f t="shared" si="23"/>
        <v>-0.96533333333333315</v>
      </c>
      <c r="N63" s="72">
        <f t="shared" si="23"/>
        <v>-1.2848586666666661</v>
      </c>
      <c r="O63" s="72">
        <f t="shared" si="23"/>
        <v>-1.6680959999999994</v>
      </c>
      <c r="P63" s="72">
        <f t="shared" si="23"/>
        <v>-2.1208373333333324</v>
      </c>
      <c r="Q63" s="72">
        <f t="shared" si="23"/>
        <v>-2.6488746666666656</v>
      </c>
      <c r="R63" s="72">
        <f t="shared" si="23"/>
        <v>-3.2579999999999996</v>
      </c>
      <c r="S63" s="72">
        <f t="shared" si="23"/>
        <v>-3.9540053333333343</v>
      </c>
      <c r="T63" s="72">
        <f t="shared" si="23"/>
        <v>-4.7426826666666679</v>
      </c>
      <c r="U63" s="72">
        <f t="shared" si="23"/>
        <v>-5.6298240000000019</v>
      </c>
      <c r="V63" s="72">
        <f t="shared" si="23"/>
        <v>-6.6212213333333372</v>
      </c>
      <c r="W63" s="72">
        <f t="shared" si="23"/>
        <v>-7.7226666666666697</v>
      </c>
      <c r="X63" s="72">
        <f t="shared" si="23"/>
        <v>-8.939952000000007</v>
      </c>
      <c r="Y63" s="72">
        <f t="shared" si="23"/>
        <v>-10.278869333333342</v>
      </c>
      <c r="Z63" s="72">
        <f t="shared" si="23"/>
        <v>-11.745210666666678</v>
      </c>
      <c r="AA63" s="72">
        <f t="shared" si="23"/>
        <v>-13.344768000000011</v>
      </c>
      <c r="AB63" s="72">
        <f t="shared" si="23"/>
        <v>-15.083333333333343</v>
      </c>
      <c r="AC63" s="72">
        <f t="shared" si="23"/>
        <v>-16.966698666666677</v>
      </c>
      <c r="AD63" s="72">
        <f t="shared" si="23"/>
        <v>-19.000656000000014</v>
      </c>
      <c r="AE63" s="72">
        <f t="shared" si="23"/>
        <v>-21.19099733333335</v>
      </c>
      <c r="AF63" s="72">
        <f t="shared" si="23"/>
        <v>-23.543514666666685</v>
      </c>
      <c r="AG63" s="72">
        <f t="shared" si="23"/>
        <v>-26.064000000000025</v>
      </c>
      <c r="AH63" s="72">
        <f t="shared" si="23"/>
        <v>-28.758245333333363</v>
      </c>
      <c r="AI63" s="72">
        <f t="shared" ref="AI63:BN63" si="24">-RL1l*AI62^3/6</f>
        <v>-31.632042666666695</v>
      </c>
      <c r="AJ63" s="72">
        <f t="shared" si="24"/>
        <v>-34.691184000000035</v>
      </c>
      <c r="AK63" s="72">
        <f t="shared" si="24"/>
        <v>-37.941461333333379</v>
      </c>
      <c r="AL63" s="72">
        <f t="shared" si="24"/>
        <v>-41.388666666666715</v>
      </c>
      <c r="AM63" s="72">
        <f t="shared" si="24"/>
        <v>-45.038592000000058</v>
      </c>
      <c r="AN63" s="72">
        <f t="shared" si="24"/>
        <v>-48.8970293333334</v>
      </c>
      <c r="AO63" s="72">
        <f t="shared" si="24"/>
        <v>-52.96977066666674</v>
      </c>
      <c r="AP63" s="72">
        <f t="shared" si="24"/>
        <v>-57.262608000000085</v>
      </c>
      <c r="AQ63" s="72">
        <f t="shared" si="24"/>
        <v>-61.781333333333414</v>
      </c>
      <c r="AR63" s="72">
        <f t="shared" si="24"/>
        <v>-66.531738666666769</v>
      </c>
      <c r="AS63" s="72">
        <f t="shared" si="24"/>
        <v>-71.519616000000113</v>
      </c>
      <c r="AT63" s="72">
        <f t="shared" si="24"/>
        <v>-76.750757333333453</v>
      </c>
      <c r="AU63" s="72">
        <f t="shared" si="24"/>
        <v>-82.23095466666679</v>
      </c>
      <c r="AV63" s="72">
        <f t="shared" si="24"/>
        <v>-87.966000000000136</v>
      </c>
      <c r="AW63" s="72">
        <f t="shared" si="24"/>
        <v>-93.961685333333492</v>
      </c>
      <c r="AX63" s="72">
        <f t="shared" si="24"/>
        <v>-100.22380266666683</v>
      </c>
      <c r="AY63" s="72">
        <f t="shared" si="24"/>
        <v>-106.75814400000017</v>
      </c>
      <c r="AZ63" s="72">
        <f t="shared" si="24"/>
        <v>-113.57050133333352</v>
      </c>
      <c r="BA63" s="72">
        <f t="shared" si="24"/>
        <v>-120.66666666666681</v>
      </c>
      <c r="BB63" s="72">
        <f t="shared" si="24"/>
        <v>-128.05243200000018</v>
      </c>
      <c r="BC63" s="72">
        <f t="shared" si="24"/>
        <v>-135.73358933333353</v>
      </c>
      <c r="BD63" s="72">
        <f t="shared" si="24"/>
        <v>-143.71593066666688</v>
      </c>
      <c r="BE63" s="72">
        <f t="shared" si="24"/>
        <v>-152.00524800000025</v>
      </c>
      <c r="BF63" s="72">
        <f t="shared" si="24"/>
        <v>-160.60733333333354</v>
      </c>
      <c r="BG63" s="72">
        <f t="shared" si="24"/>
        <v>-169.52797866666694</v>
      </c>
      <c r="BH63" s="72">
        <f t="shared" si="24"/>
        <v>-178.77297600000028</v>
      </c>
      <c r="BI63" s="72">
        <f t="shared" si="24"/>
        <v>-188.34811733333365</v>
      </c>
      <c r="BJ63" s="72">
        <f t="shared" si="24"/>
        <v>-198.25919466666699</v>
      </c>
      <c r="BK63" s="72">
        <f t="shared" si="24"/>
        <v>-208.51200000000031</v>
      </c>
      <c r="BL63" s="72">
        <f t="shared" si="24"/>
        <v>-219.11232533333364</v>
      </c>
      <c r="BM63" s="72">
        <f t="shared" si="24"/>
        <v>-230.06596266666702</v>
      </c>
      <c r="BN63" s="72">
        <f t="shared" si="24"/>
        <v>-241.3787040000004</v>
      </c>
      <c r="BO63" s="72">
        <f t="shared" ref="BO63:CT63" si="25">-RL1l*BO62^3/6</f>
        <v>-253.05634133333376</v>
      </c>
      <c r="BP63" s="72">
        <f t="shared" si="25"/>
        <v>-265.10466666666713</v>
      </c>
      <c r="BQ63" s="72">
        <f t="shared" si="25"/>
        <v>-277.52947200000045</v>
      </c>
      <c r="BR63" s="72">
        <f t="shared" si="25"/>
        <v>-290.33654933333383</v>
      </c>
      <c r="BS63" s="72">
        <f t="shared" si="25"/>
        <v>-303.5316906666672</v>
      </c>
      <c r="BT63" s="72">
        <f t="shared" si="25"/>
        <v>-317.12068800000054</v>
      </c>
      <c r="BU63" s="72">
        <f t="shared" si="25"/>
        <v>-331.10933333333389</v>
      </c>
      <c r="BV63" s="72">
        <f t="shared" si="25"/>
        <v>-345.50341866666719</v>
      </c>
      <c r="BW63" s="72">
        <f t="shared" si="25"/>
        <v>-360.30873600000064</v>
      </c>
      <c r="BX63" s="72">
        <f t="shared" si="25"/>
        <v>-375.531077333334</v>
      </c>
      <c r="BY63" s="72">
        <f t="shared" si="25"/>
        <v>-391.17623466666737</v>
      </c>
      <c r="BZ63" s="72">
        <f t="shared" si="25"/>
        <v>-407.25000000000074</v>
      </c>
      <c r="CA63" s="72">
        <f t="shared" si="25"/>
        <v>-423.75816533333409</v>
      </c>
      <c r="CB63" s="72">
        <f t="shared" si="25"/>
        <v>-440.70652266666752</v>
      </c>
      <c r="CC63" s="72">
        <f t="shared" si="25"/>
        <v>-458.10086400000085</v>
      </c>
      <c r="CD63" s="72">
        <f t="shared" si="25"/>
        <v>-475.94698133333418</v>
      </c>
      <c r="CE63" s="72">
        <f t="shared" si="25"/>
        <v>-494.25066666666754</v>
      </c>
      <c r="CF63" s="72">
        <f t="shared" si="25"/>
        <v>-513.01771200000087</v>
      </c>
      <c r="CG63" s="72">
        <f t="shared" si="25"/>
        <v>-532.25390933333426</v>
      </c>
      <c r="CH63" s="72">
        <f t="shared" si="25"/>
        <v>-551.96505066666771</v>
      </c>
      <c r="CI63" s="72">
        <f t="shared" si="25"/>
        <v>-572.15692800000113</v>
      </c>
      <c r="CJ63" s="72">
        <f t="shared" si="25"/>
        <v>-592.83533333333446</v>
      </c>
      <c r="CK63" s="72">
        <f t="shared" si="25"/>
        <v>-614.00605866666785</v>
      </c>
      <c r="CL63" s="72">
        <f t="shared" si="25"/>
        <v>-635.67489600000113</v>
      </c>
      <c r="CM63" s="72">
        <f t="shared" si="25"/>
        <v>-657.84763733333455</v>
      </c>
      <c r="CN63" s="72">
        <f t="shared" si="25"/>
        <v>-680.53007466666804</v>
      </c>
      <c r="CO63" s="72">
        <f t="shared" si="25"/>
        <v>-703.72800000000143</v>
      </c>
      <c r="CP63" s="72">
        <f t="shared" si="25"/>
        <v>-727.44720533333475</v>
      </c>
      <c r="CQ63" s="72">
        <f t="shared" si="25"/>
        <v>-751.69348266666805</v>
      </c>
      <c r="CR63" s="72">
        <f t="shared" si="25"/>
        <v>-776.47262400000147</v>
      </c>
      <c r="CS63" s="72">
        <f t="shared" si="25"/>
        <v>-801.79042133333496</v>
      </c>
      <c r="CT63" s="72">
        <f t="shared" si="25"/>
        <v>-827.65266666666821</v>
      </c>
      <c r="CU63" s="72">
        <f>-RL1l*CU62^3/6</f>
        <v>-854.0651520000016</v>
      </c>
      <c r="CV63" s="72">
        <f>-RL1l*CV62^3/6</f>
        <v>-881.03366933333518</v>
      </c>
      <c r="CW63" s="72">
        <f>-RL1l*CW62^3/6</f>
        <v>-908.56401066666842</v>
      </c>
      <c r="CX63" s="72">
        <f>-RL1l*CX62^3/6</f>
        <v>-936.66196800000182</v>
      </c>
      <c r="CY63" s="72">
        <f>-RL1l*CY62^3/6</f>
        <v>-965.3333333333353</v>
      </c>
      <c r="CZ63" s="2"/>
      <c r="DA63" s="2"/>
    </row>
    <row r="64" spans="2:105">
      <c r="B64" s="3" t="s">
        <v>24</v>
      </c>
      <c r="C64" s="71">
        <f>2*C62^4/24</f>
        <v>0</v>
      </c>
      <c r="D64" s="72">
        <f>2*D62^4/24</f>
        <v>3.4133333333333334E-6</v>
      </c>
      <c r="E64" s="72">
        <f>2*E62^4/24</f>
        <v>5.4613333333333334E-5</v>
      </c>
      <c r="F64" s="72">
        <f>2*F62^4/24</f>
        <v>2.7648000000000001E-4</v>
      </c>
      <c r="G64" s="72">
        <f>2*G62^4/24</f>
        <v>8.7381333333333335E-4</v>
      </c>
      <c r="H64" s="72">
        <f>2*H62^4/24</f>
        <v>2.1333333333333343E-3</v>
      </c>
      <c r="I64" s="72">
        <f>2*I62^4/24</f>
        <v>4.4236800000000019E-3</v>
      </c>
      <c r="J64" s="72">
        <f>2*J62^4/24</f>
        <v>8.1954133333333352E-3</v>
      </c>
      <c r="K64" s="72">
        <f>2*K62^4/24</f>
        <v>1.3981013333333334E-2</v>
      </c>
      <c r="L64" s="72">
        <f>2*L62^4/24</f>
        <v>2.2394879999999995E-2</v>
      </c>
      <c r="M64" s="72">
        <f>2*M62^4/24</f>
        <v>3.4133333333333321E-2</v>
      </c>
      <c r="N64" s="72">
        <f>2*N62^4/24</f>
        <v>4.9974613333333313E-2</v>
      </c>
      <c r="O64" s="72">
        <f>2*O62^4/24</f>
        <v>7.0778879999999961E-2</v>
      </c>
      <c r="P64" s="72">
        <f>2*P62^4/24</f>
        <v>9.7488213333333282E-2</v>
      </c>
      <c r="Q64" s="72">
        <f>2*Q62^4/24</f>
        <v>0.13112661333333328</v>
      </c>
      <c r="R64" s="72">
        <f>2*R62^4/24</f>
        <v>0.17279999999999998</v>
      </c>
      <c r="S64" s="72">
        <f>2*S62^4/24</f>
        <v>0.22369621333333334</v>
      </c>
      <c r="T64" s="72">
        <f>2*T62^4/24</f>
        <v>0.28508501333333341</v>
      </c>
      <c r="U64" s="72">
        <f>2*U62^4/24</f>
        <v>0.35831808000000009</v>
      </c>
      <c r="V64" s="72">
        <f>2*V62^4/24</f>
        <v>0.44482901333333369</v>
      </c>
      <c r="W64" s="72">
        <f>2*W62^4/24</f>
        <v>0.54613333333333369</v>
      </c>
      <c r="X64" s="72">
        <f>2*X62^4/24</f>
        <v>0.66382848000000061</v>
      </c>
      <c r="Y64" s="72">
        <f>2*Y62^4/24</f>
        <v>0.79959381333333424</v>
      </c>
      <c r="Z64" s="72">
        <f>2*Z62^4/24</f>
        <v>0.95519061333333444</v>
      </c>
      <c r="AA64" s="72">
        <f>2*AA62^4/24</f>
        <v>1.1324620800000014</v>
      </c>
      <c r="AB64" s="72">
        <f>2*AB62^4/24</f>
        <v>1.3333333333333346</v>
      </c>
      <c r="AC64" s="72">
        <f>2*AC62^4/24</f>
        <v>1.5598114133333352</v>
      </c>
      <c r="AD64" s="72">
        <f>2*AD62^4/24</f>
        <v>1.8139852800000016</v>
      </c>
      <c r="AE64" s="72">
        <f>2*AE62^4/24</f>
        <v>2.0980258133333352</v>
      </c>
      <c r="AF64" s="72">
        <f>2*AF62^4/24</f>
        <v>2.414185813333336</v>
      </c>
      <c r="AG64" s="72">
        <f>2*AG62^4/24</f>
        <v>2.7648000000000041</v>
      </c>
      <c r="AH64" s="72">
        <f>2*AH62^4/24</f>
        <v>3.1522850133333384</v>
      </c>
      <c r="AI64" s="72">
        <f>2*AI62^4/24</f>
        <v>3.5791394133333387</v>
      </c>
      <c r="AJ64" s="72">
        <f>2*AJ62^4/24</f>
        <v>4.0479436800000057</v>
      </c>
      <c r="AK64" s="72">
        <f>2*AK62^4/24</f>
        <v>4.5613602133333409</v>
      </c>
      <c r="AL64" s="72">
        <f>2*AL62^4/24</f>
        <v>5.1221333333333412</v>
      </c>
      <c r="AM64" s="72">
        <f>2*AM62^4/24</f>
        <v>5.7330892800000086</v>
      </c>
      <c r="AN64" s="72">
        <f>2*AN62^4/24</f>
        <v>6.3971362133333463</v>
      </c>
      <c r="AO64" s="72">
        <f>2*AO62^4/24</f>
        <v>7.117264213333347</v>
      </c>
      <c r="AP64" s="72">
        <f>2*AP62^4/24</f>
        <v>7.8965452800000158</v>
      </c>
      <c r="AQ64" s="72">
        <f>2*AQ62^4/24</f>
        <v>8.7381333333333497</v>
      </c>
      <c r="AR64" s="72">
        <f>2*AR62^4/24</f>
        <v>9.6452642133333519</v>
      </c>
      <c r="AS64" s="72">
        <f>2*AS62^4/24</f>
        <v>10.62125568000002</v>
      </c>
      <c r="AT64" s="72">
        <f>2*AT62^4/24</f>
        <v>11.669507413333356</v>
      </c>
      <c r="AU64" s="72">
        <f>2*AU62^4/24</f>
        <v>12.793501013333357</v>
      </c>
      <c r="AV64" s="72">
        <f>2*AV62^4/24</f>
        <v>13.996800000000029</v>
      </c>
      <c r="AW64" s="72">
        <f>2*AW62^4/24</f>
        <v>15.283049813333365</v>
      </c>
      <c r="AX64" s="72">
        <f>2*AX62^4/24</f>
        <v>16.655977813333369</v>
      </c>
      <c r="AY64" s="72">
        <f>2*AY62^4/24</f>
        <v>18.119393280000036</v>
      </c>
      <c r="AZ64" s="72">
        <f>2*AZ62^4/24</f>
        <v>19.677187413333375</v>
      </c>
      <c r="BA64" s="72">
        <f>2*BA62^4/24</f>
        <v>21.333333333333371</v>
      </c>
      <c r="BB64" s="72">
        <f>2*BB62^4/24</f>
        <v>23.091886080000037</v>
      </c>
      <c r="BC64" s="72">
        <f>2*BC62^4/24</f>
        <v>24.956982613333381</v>
      </c>
      <c r="BD64" s="72">
        <f>2*BD62^4/24</f>
        <v>26.932841813333383</v>
      </c>
      <c r="BE64" s="72">
        <f>2*BE62^4/24</f>
        <v>29.023764480000057</v>
      </c>
      <c r="BF64" s="72">
        <f>2*BF62^4/24</f>
        <v>31.234133333333389</v>
      </c>
      <c r="BG64" s="72">
        <f>2*BG62^4/24</f>
        <v>33.568413013333405</v>
      </c>
      <c r="BH64" s="72">
        <f>2*BH62^4/24</f>
        <v>36.031150080000067</v>
      </c>
      <c r="BI64" s="72">
        <f>2*BI62^4/24</f>
        <v>38.626973013333419</v>
      </c>
      <c r="BJ64" s="72">
        <f>2*BJ62^4/24</f>
        <v>41.360592213333419</v>
      </c>
      <c r="BK64" s="72">
        <f>2*BK62^4/24</f>
        <v>44.236800000000095</v>
      </c>
      <c r="BL64" s="72">
        <f>2*BL62^4/24</f>
        <v>47.260470613333432</v>
      </c>
      <c r="BM64" s="72">
        <f>2*BM62^4/24</f>
        <v>50.436560213333443</v>
      </c>
      <c r="BN64" s="72">
        <f>2*BN62^4/24</f>
        <v>53.770106880000107</v>
      </c>
      <c r="BO64" s="72">
        <f>2*BO62^4/24</f>
        <v>57.26623061333347</v>
      </c>
      <c r="BP64" s="72">
        <f>2*BP62^4/24</f>
        <v>60.93013333333348</v>
      </c>
      <c r="BQ64" s="72">
        <f>2*BQ62^4/24</f>
        <v>64.767098880000148</v>
      </c>
      <c r="BR64" s="72">
        <f>2*BR62^4/24</f>
        <v>68.782493013333493</v>
      </c>
      <c r="BS64" s="72">
        <f>2*BS62^4/24</f>
        <v>72.981763413333496</v>
      </c>
      <c r="BT64" s="72">
        <f>2*BT62^4/24</f>
        <v>77.370439680000175</v>
      </c>
      <c r="BU64" s="72">
        <f>2*BU62^4/24</f>
        <v>81.954133333333516</v>
      </c>
      <c r="BV64" s="72">
        <f>2*BV62^4/24</f>
        <v>86.738537813333508</v>
      </c>
      <c r="BW64" s="72">
        <f>2*BW62^4/24</f>
        <v>91.729428480000237</v>
      </c>
      <c r="BX64" s="72">
        <f>2*BX62^4/24</f>
        <v>96.932662613333548</v>
      </c>
      <c r="BY64" s="72">
        <f>2*BY62^4/24</f>
        <v>102.35417941333357</v>
      </c>
      <c r="BZ64" s="72">
        <f>2*BZ62^4/24</f>
        <v>108.00000000000027</v>
      </c>
      <c r="CA64" s="72">
        <f>2*CA62^4/24</f>
        <v>113.87622741333359</v>
      </c>
      <c r="CB64" s="72">
        <f>2*CB62^4/24</f>
        <v>119.98904661333364</v>
      </c>
      <c r="CC64" s="72">
        <f>2*CC62^4/24</f>
        <v>126.34472448000029</v>
      </c>
      <c r="CD64" s="72">
        <f>2*CD62^4/24</f>
        <v>132.94960981333367</v>
      </c>
      <c r="CE64" s="72">
        <f>2*CE62^4/24</f>
        <v>139.81013333333368</v>
      </c>
      <c r="CF64" s="72">
        <f>2*CF62^4/24</f>
        <v>146.93280768000037</v>
      </c>
      <c r="CG64" s="72">
        <f>2*CG62^4/24</f>
        <v>154.32422741333369</v>
      </c>
      <c r="CH64" s="72">
        <f>2*CH62^4/24</f>
        <v>161.99106901333371</v>
      </c>
      <c r="CI64" s="72">
        <f>2*CI62^4/24</f>
        <v>169.94009088000044</v>
      </c>
      <c r="CJ64" s="72">
        <f>2*CJ62^4/24</f>
        <v>178.17813333333379</v>
      </c>
      <c r="CK64" s="72">
        <f>2*CK62^4/24</f>
        <v>186.71211861333381</v>
      </c>
      <c r="CL64" s="72">
        <f>2*CL62^4/24</f>
        <v>195.54905088000046</v>
      </c>
      <c r="CM64" s="72">
        <f>2*CM62^4/24</f>
        <v>204.69601621333388</v>
      </c>
      <c r="CN64" s="72">
        <f>2*CN62^4/24</f>
        <v>214.16018261333389</v>
      </c>
      <c r="CO64" s="72">
        <f>2*CO62^4/24</f>
        <v>223.94880000000057</v>
      </c>
      <c r="CP64" s="72">
        <f>2*CP62^4/24</f>
        <v>234.06920021333394</v>
      </c>
      <c r="CQ64" s="72">
        <f>2*CQ62^4/24</f>
        <v>244.52879701333393</v>
      </c>
      <c r="CR64" s="72">
        <f>2*CR62^4/24</f>
        <v>255.33508608000065</v>
      </c>
      <c r="CS64" s="72">
        <f>2*CS62^4/24</f>
        <v>266.49564501333401</v>
      </c>
      <c r="CT64" s="72">
        <f>2*CT62^4/24</f>
        <v>278.01813333333405</v>
      </c>
      <c r="CU64" s="72">
        <f>2*CU62^4/24</f>
        <v>289.91029248000075</v>
      </c>
      <c r="CV64" s="72">
        <f>2*CV62^4/24</f>
        <v>302.1799458133342</v>
      </c>
      <c r="CW64" s="72">
        <f>2*CW62^4/24</f>
        <v>314.83499861333416</v>
      </c>
      <c r="CX64" s="72">
        <f>2*CX62^4/24</f>
        <v>327.88343808000087</v>
      </c>
      <c r="CY64" s="72">
        <f>2*CY62^4/24</f>
        <v>341.33333333333422</v>
      </c>
      <c r="CZ64" s="2"/>
      <c r="DA64" s="2"/>
    </row>
    <row r="65" spans="2:105">
      <c r="B65" s="3" t="s">
        <v>277</v>
      </c>
      <c r="C65" s="71">
        <f t="shared" ref="C65:AH65" si="26">IF(PosPUDL1&lt;C62,PUDL1l*(C62-PosPUDL1)^4/24,0)</f>
        <v>0</v>
      </c>
      <c r="D65" s="72">
        <f t="shared" si="26"/>
        <v>0</v>
      </c>
      <c r="E65" s="72">
        <f t="shared" si="26"/>
        <v>0</v>
      </c>
      <c r="F65" s="72">
        <f t="shared" si="26"/>
        <v>0</v>
      </c>
      <c r="G65" s="72">
        <f t="shared" si="26"/>
        <v>0</v>
      </c>
      <c r="H65" s="72">
        <f t="shared" si="26"/>
        <v>0</v>
      </c>
      <c r="I65" s="72">
        <f t="shared" si="26"/>
        <v>0</v>
      </c>
      <c r="J65" s="72">
        <f t="shared" si="26"/>
        <v>0</v>
      </c>
      <c r="K65" s="72">
        <f t="shared" si="26"/>
        <v>0</v>
      </c>
      <c r="L65" s="72">
        <f t="shared" si="26"/>
        <v>0</v>
      </c>
      <c r="M65" s="72">
        <f t="shared" si="26"/>
        <v>0</v>
      </c>
      <c r="N65" s="72">
        <f t="shared" si="26"/>
        <v>0</v>
      </c>
      <c r="O65" s="72">
        <f t="shared" si="26"/>
        <v>0</v>
      </c>
      <c r="P65" s="72">
        <f t="shared" si="26"/>
        <v>1.0666666666666467E-7</v>
      </c>
      <c r="Q65" s="72">
        <f t="shared" si="26"/>
        <v>8.6399999999999664E-6</v>
      </c>
      <c r="R65" s="72">
        <f t="shared" si="26"/>
        <v>6.6666666666666602E-5</v>
      </c>
      <c r="S65" s="72">
        <f t="shared" si="26"/>
        <v>2.5610666666666673E-4</v>
      </c>
      <c r="T65" s="72">
        <f t="shared" si="26"/>
        <v>6.9984000000000073E-4</v>
      </c>
      <c r="U65" s="72">
        <f t="shared" si="26"/>
        <v>1.5617066666666693E-3</v>
      </c>
      <c r="V65" s="72">
        <f t="shared" si="26"/>
        <v>3.0465066666666724E-3</v>
      </c>
      <c r="W65" s="72">
        <f t="shared" si="26"/>
        <v>5.4000000000000116E-3</v>
      </c>
      <c r="X65" s="72">
        <f t="shared" si="26"/>
        <v>8.9089066666666866E-3</v>
      </c>
      <c r="Y65" s="72">
        <f t="shared" si="26"/>
        <v>1.3900906666666699E-2</v>
      </c>
      <c r="Z65" s="72">
        <f t="shared" si="26"/>
        <v>2.0744640000000054E-2</v>
      </c>
      <c r="AA65" s="72">
        <f t="shared" si="26"/>
        <v>2.9849706666666739E-2</v>
      </c>
      <c r="AB65" s="72">
        <f t="shared" si="26"/>
        <v>4.1666666666666741E-2</v>
      </c>
      <c r="AC65" s="72">
        <f t="shared" si="26"/>
        <v>5.6687040000000112E-2</v>
      </c>
      <c r="AD65" s="72">
        <f t="shared" si="26"/>
        <v>7.5443306666666834E-2</v>
      </c>
      <c r="AE65" s="72">
        <f t="shared" si="26"/>
        <v>9.8508906666666882E-2</v>
      </c>
      <c r="AF65" s="72">
        <f t="shared" si="26"/>
        <v>0.12649824000000029</v>
      </c>
      <c r="AG65" s="72">
        <f t="shared" si="26"/>
        <v>0.16006666666666702</v>
      </c>
      <c r="AH65" s="72">
        <f t="shared" si="26"/>
        <v>0.19991050666666713</v>
      </c>
      <c r="AI65" s="72">
        <f t="shared" ref="AI65:BN65" si="27">IF(PosPUDL1&lt;AI62,PUDL1l*(AI62-PosPUDL1)^4/24,0)</f>
        <v>0.24676704000000058</v>
      </c>
      <c r="AJ65" s="72">
        <f t="shared" si="27"/>
        <v>0.30141450666666736</v>
      </c>
      <c r="AK65" s="72">
        <f t="shared" si="27"/>
        <v>0.36467210666666761</v>
      </c>
      <c r="AL65" s="72">
        <f t="shared" si="27"/>
        <v>0.43740000000000112</v>
      </c>
      <c r="AM65" s="72">
        <f t="shared" si="27"/>
        <v>0.52049930666666799</v>
      </c>
      <c r="AN65" s="72">
        <f t="shared" si="27"/>
        <v>0.61491210666666829</v>
      </c>
      <c r="AO65" s="72">
        <f t="shared" si="27"/>
        <v>0.72162144000000195</v>
      </c>
      <c r="AP65" s="72">
        <f t="shared" si="27"/>
        <v>0.84165130666666899</v>
      </c>
      <c r="AQ65" s="72">
        <f t="shared" si="27"/>
        <v>0.97606666666666941</v>
      </c>
      <c r="AR65" s="72">
        <f t="shared" si="27"/>
        <v>1.1259734400000032</v>
      </c>
      <c r="AS65" s="72">
        <f t="shared" si="27"/>
        <v>1.29251850666667</v>
      </c>
      <c r="AT65" s="72">
        <f t="shared" si="27"/>
        <v>1.4768897066666709</v>
      </c>
      <c r="AU65" s="72">
        <f t="shared" si="27"/>
        <v>1.6803158400000049</v>
      </c>
      <c r="AV65" s="72">
        <f t="shared" si="27"/>
        <v>1.9040666666666721</v>
      </c>
      <c r="AW65" s="72">
        <f t="shared" si="27"/>
        <v>2.149452906666673</v>
      </c>
      <c r="AX65" s="72">
        <f t="shared" si="27"/>
        <v>2.4178262400000068</v>
      </c>
      <c r="AY65" s="72">
        <f t="shared" si="27"/>
        <v>2.7105793066666752</v>
      </c>
      <c r="AZ65" s="72">
        <f t="shared" si="27"/>
        <v>3.0291457066666756</v>
      </c>
      <c r="BA65" s="72">
        <f t="shared" si="27"/>
        <v>3.3750000000000084</v>
      </c>
      <c r="BB65" s="72">
        <f t="shared" si="27"/>
        <v>3.7496577066666763</v>
      </c>
      <c r="BC65" s="72">
        <f t="shared" si="27"/>
        <v>4.1546753066666771</v>
      </c>
      <c r="BD65" s="72">
        <f t="shared" si="27"/>
        <v>4.5916502400000114</v>
      </c>
      <c r="BE65" s="72">
        <f t="shared" si="27"/>
        <v>5.0622209066666786</v>
      </c>
      <c r="BF65" s="72">
        <f t="shared" si="27"/>
        <v>5.5680666666666809</v>
      </c>
      <c r="BG65" s="72">
        <f t="shared" si="27"/>
        <v>6.1109078400000145</v>
      </c>
      <c r="BH65" s="72">
        <f t="shared" si="27"/>
        <v>6.692505706666684</v>
      </c>
      <c r="BI65" s="72">
        <f t="shared" si="27"/>
        <v>7.3146625066666857</v>
      </c>
      <c r="BJ65" s="72">
        <f t="shared" si="27"/>
        <v>7.9792214400000203</v>
      </c>
      <c r="BK65" s="72">
        <f t="shared" si="27"/>
        <v>8.688066666666689</v>
      </c>
      <c r="BL65" s="72">
        <f t="shared" si="27"/>
        <v>9.4431233066666938</v>
      </c>
      <c r="BM65" s="72">
        <f t="shared" si="27"/>
        <v>10.246357440000027</v>
      </c>
      <c r="BN65" s="72">
        <f t="shared" si="27"/>
        <v>11.099776106666695</v>
      </c>
      <c r="BO65" s="72">
        <f t="shared" ref="BO65:CY65" si="28">IF(PosPUDL1&lt;BO62,PUDL1l*(BO62-PosPUDL1)^4/24,0)</f>
        <v>12.005427306666702</v>
      </c>
      <c r="BP65" s="72">
        <f t="shared" si="28"/>
        <v>12.965400000000038</v>
      </c>
      <c r="BQ65" s="72">
        <f t="shared" si="28"/>
        <v>13.981824106666705</v>
      </c>
      <c r="BR65" s="72">
        <f t="shared" si="28"/>
        <v>15.05687050666671</v>
      </c>
      <c r="BS65" s="72">
        <f t="shared" si="28"/>
        <v>16.192751040000044</v>
      </c>
      <c r="BT65" s="72">
        <f t="shared" si="28"/>
        <v>17.391718506666713</v>
      </c>
      <c r="BU65" s="72">
        <f t="shared" si="28"/>
        <v>18.656066666666717</v>
      </c>
      <c r="BV65" s="72">
        <f t="shared" si="28"/>
        <v>19.988130240000057</v>
      </c>
      <c r="BW65" s="72">
        <f t="shared" si="28"/>
        <v>21.390284906666725</v>
      </c>
      <c r="BX65" s="72">
        <f t="shared" si="28"/>
        <v>22.864947306666725</v>
      </c>
      <c r="BY65" s="72">
        <f t="shared" si="28"/>
        <v>24.41457504000007</v>
      </c>
      <c r="BZ65" s="72">
        <f t="shared" si="28"/>
        <v>26.041666666666742</v>
      </c>
      <c r="CA65" s="72">
        <f t="shared" si="28"/>
        <v>27.748761706666741</v>
      </c>
      <c r="CB65" s="72">
        <f t="shared" si="28"/>
        <v>29.538440640000086</v>
      </c>
      <c r="CC65" s="72">
        <f t="shared" si="28"/>
        <v>31.413324906666755</v>
      </c>
      <c r="CD65" s="72">
        <f t="shared" si="28"/>
        <v>33.376076906666761</v>
      </c>
      <c r="CE65" s="72">
        <f t="shared" si="28"/>
        <v>35.429400000000108</v>
      </c>
      <c r="CF65" s="72">
        <f t="shared" si="28"/>
        <v>37.576038506666769</v>
      </c>
      <c r="CG65" s="72">
        <f t="shared" si="28"/>
        <v>39.818777706666786</v>
      </c>
      <c r="CH65" s="72">
        <f t="shared" si="28"/>
        <v>42.16044384000012</v>
      </c>
      <c r="CI65" s="72">
        <f t="shared" si="28"/>
        <v>44.603904106666789</v>
      </c>
      <c r="CJ65" s="72">
        <f t="shared" si="28"/>
        <v>47.152066666666805</v>
      </c>
      <c r="CK65" s="72">
        <f t="shared" si="28"/>
        <v>49.807880640000157</v>
      </c>
      <c r="CL65" s="72">
        <f t="shared" si="28"/>
        <v>52.574336106666813</v>
      </c>
      <c r="CM65" s="72">
        <f t="shared" si="28"/>
        <v>55.45446410666684</v>
      </c>
      <c r="CN65" s="72">
        <f t="shared" si="28"/>
        <v>58.451336640000171</v>
      </c>
      <c r="CO65" s="72">
        <f t="shared" si="28"/>
        <v>61.568066666666844</v>
      </c>
      <c r="CP65" s="72">
        <f t="shared" si="28"/>
        <v>64.807808106666855</v>
      </c>
      <c r="CQ65" s="72">
        <f t="shared" si="28"/>
        <v>68.173755840000197</v>
      </c>
      <c r="CR65" s="72">
        <f t="shared" si="28"/>
        <v>71.669145706666882</v>
      </c>
      <c r="CS65" s="72">
        <f t="shared" si="28"/>
        <v>75.297254506666874</v>
      </c>
      <c r="CT65" s="72">
        <f t="shared" si="28"/>
        <v>79.061400000000233</v>
      </c>
      <c r="CU65" s="72">
        <f t="shared" si="28"/>
        <v>82.964940906666925</v>
      </c>
      <c r="CV65" s="72">
        <f t="shared" si="28"/>
        <v>87.011276906666936</v>
      </c>
      <c r="CW65" s="72">
        <f t="shared" si="28"/>
        <v>91.203848640000288</v>
      </c>
      <c r="CX65" s="72">
        <f t="shared" si="28"/>
        <v>95.546137706666954</v>
      </c>
      <c r="CY65" s="72">
        <f t="shared" si="28"/>
        <v>100.04166666666696</v>
      </c>
      <c r="CZ65" s="2"/>
      <c r="DA65" s="2"/>
    </row>
    <row r="66" spans="2:105">
      <c r="B66" s="3" t="s">
        <v>279</v>
      </c>
      <c r="C66" s="71">
        <f>-IF(C62&gt;(PosPUDL1+3),PUDL1l*(C62-PosPUDL1-3)^4/24,0)</f>
        <v>0</v>
      </c>
      <c r="D66" s="72">
        <f>-IF(D62&gt;(PosPUDL1+3),PUDL1l*(D62-PosPUDL1-3)^4/24,0)</f>
        <v>0</v>
      </c>
      <c r="E66" s="72">
        <f>-IF(E62&gt;(PosPUDL1+3),PUDL1l*(E62-PosPUDL1-3)^4/24,0)</f>
        <v>0</v>
      </c>
      <c r="F66" s="72">
        <f>-IF(F62&gt;(PosPUDL1+3),PUDL1l*(F62-PosPUDL1-3)^4/24,0)</f>
        <v>0</v>
      </c>
      <c r="G66" s="72">
        <f>-IF(G62&gt;(PosPUDL1+3),PUDL1l*(G62-PosPUDL1-3)^4/24,0)</f>
        <v>0</v>
      </c>
      <c r="H66" s="72">
        <f>-IF(H62&gt;(PosPUDL1+3),PUDL1l*(H62-PosPUDL1-3)^4/24,0)</f>
        <v>0</v>
      </c>
      <c r="I66" s="72">
        <f>-IF(I62&gt;(PosPUDL1+3),PUDL1l*(I62-PosPUDL1-3)^4/24,0)</f>
        <v>0</v>
      </c>
      <c r="J66" s="72">
        <f>-IF(J62&gt;(PosPUDL1+3),PUDL1l*(J62-PosPUDL1-3)^4/24,0)</f>
        <v>0</v>
      </c>
      <c r="K66" s="72">
        <f>-IF(K62&gt;(PosPUDL1+3),PUDL1l*(K62-PosPUDL1-3)^4/24,0)</f>
        <v>0</v>
      </c>
      <c r="L66" s="72">
        <f>-IF(L62&gt;(PosPUDL1+3),PUDL1l*(L62-PosPUDL1-3)^4/24,0)</f>
        <v>0</v>
      </c>
      <c r="M66" s="72">
        <f>-IF(M62&gt;(PosPUDL1+3),PUDL1l*(M62-PosPUDL1-3)^4/24,0)</f>
        <v>0</v>
      </c>
      <c r="N66" s="72">
        <f>-IF(N62&gt;(PosPUDL1+3),PUDL1l*(N62-PosPUDL1-3)^4/24,0)</f>
        <v>0</v>
      </c>
      <c r="O66" s="72">
        <f>-IF(O62&gt;(PosPUDL1+3),PUDL1l*(O62-PosPUDL1-3)^4/24,0)</f>
        <v>0</v>
      </c>
      <c r="P66" s="72">
        <f>-IF(P62&gt;(PosPUDL1+3),PUDL1l*(P62-PosPUDL1-3)^4/24,0)</f>
        <v>0</v>
      </c>
      <c r="Q66" s="72">
        <f>-IF(Q62&gt;(PosPUDL1+3),PUDL1l*(Q62-PosPUDL1-3)^4/24,0)</f>
        <v>0</v>
      </c>
      <c r="R66" s="72">
        <f>-IF(R62&gt;(PosPUDL1+3),PUDL1l*(R62-PosPUDL1-3)^4/24,0)</f>
        <v>0</v>
      </c>
      <c r="S66" s="72">
        <f>-IF(S62&gt;(PosPUDL1+3),PUDL1l*(S62-PosPUDL1-3)^4/24,0)</f>
        <v>0</v>
      </c>
      <c r="T66" s="72">
        <f>-IF(T62&gt;(PosPUDL1+3),PUDL1l*(T62-PosPUDL1-3)^4/24,0)</f>
        <v>0</v>
      </c>
      <c r="U66" s="72">
        <f>-IF(U62&gt;(PosPUDL1+3),PUDL1l*(U62-PosPUDL1-3)^4/24,0)</f>
        <v>0</v>
      </c>
      <c r="V66" s="72">
        <f>-IF(V62&gt;(PosPUDL1+3),PUDL1l*(V62-PosPUDL1-3)^4/24,0)</f>
        <v>0</v>
      </c>
      <c r="W66" s="72">
        <f>-IF(W62&gt;(PosPUDL1+3),PUDL1l*(W62-PosPUDL1-3)^4/24,0)</f>
        <v>0</v>
      </c>
      <c r="X66" s="72">
        <f>-IF(X62&gt;(PosPUDL1+3),PUDL1l*(X62-PosPUDL1-3)^4/24,0)</f>
        <v>0</v>
      </c>
      <c r="Y66" s="72">
        <f>-IF(Y62&gt;(PosPUDL1+3),PUDL1l*(Y62-PosPUDL1-3)^4/24,0)</f>
        <v>0</v>
      </c>
      <c r="Z66" s="72">
        <f>-IF(Z62&gt;(PosPUDL1+3),PUDL1l*(Z62-PosPUDL1-3)^4/24,0)</f>
        <v>0</v>
      </c>
      <c r="AA66" s="72">
        <f>-IF(AA62&gt;(PosPUDL1+3),PUDL1l*(AA62-PosPUDL1-3)^4/24,0)</f>
        <v>0</v>
      </c>
      <c r="AB66" s="72">
        <f>-IF(AB62&gt;(PosPUDL1+3),PUDL1l*(AB62-PosPUDL1-3)^4/24,0)</f>
        <v>0</v>
      </c>
      <c r="AC66" s="72">
        <f>-IF(AC62&gt;(PosPUDL1+3),PUDL1l*(AC62-PosPUDL1-3)^4/24,0)</f>
        <v>0</v>
      </c>
      <c r="AD66" s="72">
        <f>-IF(AD62&gt;(PosPUDL1+3),PUDL1l*(AD62-PosPUDL1-3)^4/24,0)</f>
        <v>0</v>
      </c>
      <c r="AE66" s="72">
        <f>-IF(AE62&gt;(PosPUDL1+3),PUDL1l*(AE62-PosPUDL1-3)^4/24,0)</f>
        <v>0</v>
      </c>
      <c r="AF66" s="72">
        <f>-IF(AF62&gt;(PosPUDL1+3),PUDL1l*(AF62-PosPUDL1-3)^4/24,0)</f>
        <v>0</v>
      </c>
      <c r="AG66" s="72">
        <f>-IF(AG62&gt;(PosPUDL1+3),PUDL1l*(AG62-PosPUDL1-3)^4/24,0)</f>
        <v>0</v>
      </c>
      <c r="AH66" s="72">
        <f>-IF(AH62&gt;(PosPUDL1+3),PUDL1l*(AH62-PosPUDL1-3)^4/24,0)</f>
        <v>0</v>
      </c>
      <c r="AI66" s="72">
        <f>-IF(AI62&gt;(PosPUDL1+3),PUDL1l*(AI62-PosPUDL1-3)^4/24,0)</f>
        <v>0</v>
      </c>
      <c r="AJ66" s="72">
        <f>-IF(AJ62&gt;(PosPUDL1+3),PUDL1l*(AJ62-PosPUDL1-3)^4/24,0)</f>
        <v>0</v>
      </c>
      <c r="AK66" s="72">
        <f>-IF(AK62&gt;(PosPUDL1+3),PUDL1l*(AK62-PosPUDL1-3)^4/24,0)</f>
        <v>0</v>
      </c>
      <c r="AL66" s="72">
        <f>-IF(AL62&gt;(PosPUDL1+3),PUDL1l*(AL62-PosPUDL1-3)^4/24,0)</f>
        <v>0</v>
      </c>
      <c r="AM66" s="72">
        <f>-IF(AM62&gt;(PosPUDL1+3),PUDL1l*(AM62-PosPUDL1-3)^4/24,0)</f>
        <v>0</v>
      </c>
      <c r="AN66" s="72">
        <f>-IF(AN62&gt;(PosPUDL1+3),PUDL1l*(AN62-PosPUDL1-3)^4/24,0)</f>
        <v>0</v>
      </c>
      <c r="AO66" s="72">
        <f>-IF(AO62&gt;(PosPUDL1+3),PUDL1l*(AO62-PosPUDL1-3)^4/24,0)</f>
        <v>0</v>
      </c>
      <c r="AP66" s="72">
        <f>-IF(AP62&gt;(PosPUDL1+3),PUDL1l*(AP62-PosPUDL1-3)^4/24,0)</f>
        <v>0</v>
      </c>
      <c r="AQ66" s="72">
        <f>-IF(AQ62&gt;(PosPUDL1+3),PUDL1l*(AQ62-PosPUDL1-3)^4/24,0)</f>
        <v>0</v>
      </c>
      <c r="AR66" s="72">
        <f>-IF(AR62&gt;(PosPUDL1+3),PUDL1l*(AR62-PosPUDL1-3)^4/24,0)</f>
        <v>0</v>
      </c>
      <c r="AS66" s="72">
        <f>-IF(AS62&gt;(PosPUDL1+3),PUDL1l*(AS62-PosPUDL1-3)^4/24,0)</f>
        <v>0</v>
      </c>
      <c r="AT66" s="72">
        <f>-IF(AT62&gt;(PosPUDL1+3),PUDL1l*(AT62-PosPUDL1-3)^4/24,0)</f>
        <v>0</v>
      </c>
      <c r="AU66" s="72">
        <f>-IF(AU62&gt;(PosPUDL1+3),PUDL1l*(AU62-PosPUDL1-3)^4/24,0)</f>
        <v>0</v>
      </c>
      <c r="AV66" s="72">
        <f>-IF(AV62&gt;(PosPUDL1+3),PUDL1l*(AV62-PosPUDL1-3)^4/24,0)</f>
        <v>0</v>
      </c>
      <c r="AW66" s="72">
        <f>-IF(AW62&gt;(PosPUDL1+3),PUDL1l*(AW62-PosPUDL1-3)^4/24,0)</f>
        <v>0</v>
      </c>
      <c r="AX66" s="72">
        <f>-IF(AX62&gt;(PosPUDL1+3),PUDL1l*(AX62-PosPUDL1-3)^4/24,0)</f>
        <v>0</v>
      </c>
      <c r="AY66" s="72">
        <f>-IF(AY62&gt;(PosPUDL1+3),PUDL1l*(AY62-PosPUDL1-3)^4/24,0)</f>
        <v>0</v>
      </c>
      <c r="AZ66" s="72">
        <f>-IF(AZ62&gt;(PosPUDL1+3),PUDL1l*(AZ62-PosPUDL1-3)^4/24,0)</f>
        <v>0</v>
      </c>
      <c r="BA66" s="72">
        <f>-IF(BA62&gt;(PosPUDL1+3),PUDL1l*(BA62-PosPUDL1-3)^4/24,0)</f>
        <v>0</v>
      </c>
      <c r="BB66" s="72">
        <f>-IF(BB62&gt;(PosPUDL1+3),PUDL1l*(BB62-PosPUDL1-3)^4/24,0)</f>
        <v>-1.7066666666668243E-6</v>
      </c>
      <c r="BC66" s="72">
        <f>-IF(BC62&gt;(PosPUDL1+3),PUDL1l*(BC62-PosPUDL1-3)^4/24,0)</f>
        <v>-2.7306666666667978E-5</v>
      </c>
      <c r="BD66" s="72">
        <f>-IF(BD62&gt;(PosPUDL1+3),PUDL1l*(BD62-PosPUDL1-3)^4/24,0)</f>
        <v>-1.3824000000000459E-4</v>
      </c>
      <c r="BE66" s="72">
        <f>-IF(BE62&gt;(PosPUDL1+3),PUDL1l*(BE62-PosPUDL1-3)^4/24,0)</f>
        <v>-4.3690666666667795E-4</v>
      </c>
      <c r="BF66" s="72">
        <f>-IF(BF62&gt;(PosPUDL1+3),PUDL1l*(BF62-PosPUDL1-3)^4/24,0)</f>
        <v>-1.0666666666666893E-3</v>
      </c>
      <c r="BG66" s="72">
        <f>-IF(BG62&gt;(PosPUDL1+3),PUDL1l*(BG62-PosPUDL1-3)^4/24,0)</f>
        <v>-2.2118400000000404E-3</v>
      </c>
      <c r="BH66" s="72">
        <f>-IF(BH62&gt;(PosPUDL1+3),PUDL1l*(BH62-PosPUDL1-3)^4/24,0)</f>
        <v>-4.0977066666667327E-3</v>
      </c>
      <c r="BI66" s="72">
        <f>-IF(BI62&gt;(PosPUDL1+3),PUDL1l*(BI62-PosPUDL1-3)^4/24,0)</f>
        <v>-6.99050666666677E-3</v>
      </c>
      <c r="BJ66" s="72">
        <f>-IF(BJ62&gt;(PosPUDL1+3),PUDL1l*(BJ62-PosPUDL1-3)^4/24,0)</f>
        <v>-1.1197440000000154E-2</v>
      </c>
      <c r="BK66" s="72">
        <f>-IF(BK62&gt;(PosPUDL1+3),PUDL1l*(BK62-PosPUDL1-3)^4/24,0)</f>
        <v>-1.7066666666666879E-2</v>
      </c>
      <c r="BL66" s="72">
        <f>-IF(BL62&gt;(PosPUDL1+3),PUDL1l*(BL62-PosPUDL1-3)^4/24,0)</f>
        <v>-2.4987306666666959E-2</v>
      </c>
      <c r="BM66" s="72">
        <f>-IF(BM62&gt;(PosPUDL1+3),PUDL1l*(BM62-PosPUDL1-3)^4/24,0)</f>
        <v>-3.538944000000039E-2</v>
      </c>
      <c r="BN66" s="72">
        <f>-IF(BN62&gt;(PosPUDL1+3),PUDL1l*(BN62-PosPUDL1-3)^4/24,0)</f>
        <v>-4.8744106666667175E-2</v>
      </c>
      <c r="BO66" s="72">
        <f>-IF(BO62&gt;(PosPUDL1+3),PUDL1l*(BO62-PosPUDL1-3)^4/24,0)</f>
        <v>-6.5563306666667306E-2</v>
      </c>
      <c r="BP66" s="72">
        <f>-IF(BP62&gt;(PosPUDL1+3),PUDL1l*(BP62-PosPUDL1-3)^4/24,0)</f>
        <v>-8.6400000000000823E-2</v>
      </c>
      <c r="BQ66" s="72">
        <f>-IF(BQ62&gt;(PosPUDL1+3),PUDL1l*(BQ62-PosPUDL1-3)^4/24,0)</f>
        <v>-0.11184810666666768</v>
      </c>
      <c r="BR66" s="72">
        <f>-IF(BR62&gt;(PosPUDL1+3),PUDL1l*(BR62-PosPUDL1-3)^4/24,0)</f>
        <v>-0.14254250666666793</v>
      </c>
      <c r="BS66" s="72">
        <f>-IF(BS62&gt;(PosPUDL1+3),PUDL1l*(BS62-PosPUDL1-3)^4/24,0)</f>
        <v>-0.17915904000000152</v>
      </c>
      <c r="BT66" s="72">
        <f>-IF(BT62&gt;(PosPUDL1+3),PUDL1l*(BT62-PosPUDL1-3)^4/24,0)</f>
        <v>-0.22241450666666848</v>
      </c>
      <c r="BU66" s="72">
        <f>-IF(BU62&gt;(PosPUDL1+3),PUDL1l*(BU62-PosPUDL1-3)^4/24,0)</f>
        <v>-0.27306666666666884</v>
      </c>
      <c r="BV66" s="72">
        <f>-IF(BV62&gt;(PosPUDL1+3),PUDL1l*(BV62-PosPUDL1-3)^4/24,0)</f>
        <v>-0.33191424000000264</v>
      </c>
      <c r="BW66" s="72">
        <f>-IF(BW62&gt;(PosPUDL1+3),PUDL1l*(BW62-PosPUDL1-3)^4/24,0)</f>
        <v>-0.39979690666666973</v>
      </c>
      <c r="BX66" s="72">
        <f>-IF(BX62&gt;(PosPUDL1+3),PUDL1l*(BX62-PosPUDL1-3)^4/24,0)</f>
        <v>-0.47759530666667022</v>
      </c>
      <c r="BY66" s="72">
        <f>-IF(BY62&gt;(PosPUDL1+3),PUDL1l*(BY62-PosPUDL1-3)^4/24,0)</f>
        <v>-0.56623104000000402</v>
      </c>
      <c r="BZ66" s="72">
        <f>-IF(BZ62&gt;(PosPUDL1+3),PUDL1l*(BZ62-PosPUDL1-3)^4/24,0)</f>
        <v>-0.6666666666666714</v>
      </c>
      <c r="CA66" s="72">
        <f>-IF(CA62&gt;(PosPUDL1+3),PUDL1l*(CA62-PosPUDL1-3)^4/24,0)</f>
        <v>-0.77990570666667203</v>
      </c>
      <c r="CB66" s="72">
        <f>-IF(CB62&gt;(PosPUDL1+3),PUDL1l*(CB62-PosPUDL1-3)^4/24,0)</f>
        <v>-0.90699264000000646</v>
      </c>
      <c r="CC66" s="72">
        <f>-IF(CC62&gt;(PosPUDL1+3),PUDL1l*(CC62-PosPUDL1-3)^4/24,0)</f>
        <v>-1.0490129066666738</v>
      </c>
      <c r="CD66" s="72">
        <f>-IF(CD62&gt;(PosPUDL1+3),PUDL1l*(CD62-PosPUDL1-3)^4/24,0)</f>
        <v>-1.2070929066666745</v>
      </c>
      <c r="CE66" s="72">
        <f>-IF(CE62&gt;(PosPUDL1+3),PUDL1l*(CE62-PosPUDL1-3)^4/24,0)</f>
        <v>-1.3824000000000087</v>
      </c>
      <c r="CF66" s="72">
        <f>-IF(CF62&gt;(PosPUDL1+3),PUDL1l*(CF62-PosPUDL1-3)^4/24,0)</f>
        <v>-1.5761425066666768</v>
      </c>
      <c r="CG66" s="72">
        <f>-IF(CG62&gt;(PosPUDL1+3),PUDL1l*(CG62-PosPUDL1-3)^4/24,0)</f>
        <v>-1.789569706666678</v>
      </c>
      <c r="CH66" s="72">
        <f>-IF(CH62&gt;(PosPUDL1+3),PUDL1l*(CH62-PosPUDL1-3)^4/24,0)</f>
        <v>-2.0239718400000126</v>
      </c>
      <c r="CI66" s="72">
        <f>-IF(CI62&gt;(PosPUDL1+3),PUDL1l*(CI62-PosPUDL1-3)^4/24,0)</f>
        <v>-2.2806801066666806</v>
      </c>
      <c r="CJ66" s="72">
        <f>-IF(CJ62&gt;(PosPUDL1+3),PUDL1l*(CJ62-PosPUDL1-3)^4/24,0)</f>
        <v>-2.5610666666666821</v>
      </c>
      <c r="CK66" s="72">
        <f>-IF(CK62&gt;(PosPUDL1+3),PUDL1l*(CK62-PosPUDL1-3)^4/24,0)</f>
        <v>-2.8665446400000167</v>
      </c>
      <c r="CL66" s="72">
        <f>-IF(CL62&gt;(PosPUDL1+3),PUDL1l*(CL62-PosPUDL1-3)^4/24,0)</f>
        <v>-3.198568106666686</v>
      </c>
      <c r="CM66" s="72">
        <f>-IF(CM62&gt;(PosPUDL1+3),PUDL1l*(CM62-PosPUDL1-3)^4/24,0)</f>
        <v>-3.5586321066666873</v>
      </c>
      <c r="CN66" s="72">
        <f>-IF(CN62&gt;(PosPUDL1+3),PUDL1l*(CN62-PosPUDL1-3)^4/24,0)</f>
        <v>-3.9482726400000239</v>
      </c>
      <c r="CO66" s="72">
        <f>-IF(CO62&gt;(PosPUDL1+3),PUDL1l*(CO62-PosPUDL1-3)^4/24,0)</f>
        <v>-4.3690666666666926</v>
      </c>
      <c r="CP66" s="72">
        <f>-IF(CP62&gt;(PosPUDL1+3),PUDL1l*(CP62-PosPUDL1-3)^4/24,0)</f>
        <v>-4.8226321066666937</v>
      </c>
      <c r="CQ66" s="72">
        <f>-IF(CQ62&gt;(PosPUDL1+3),PUDL1l*(CQ62-PosPUDL1-3)^4/24,0)</f>
        <v>-5.3106278400000297</v>
      </c>
      <c r="CR66" s="72">
        <f>-IF(CR62&gt;(PosPUDL1+3),PUDL1l*(CR62-PosPUDL1-3)^4/24,0)</f>
        <v>-5.8347537066666986</v>
      </c>
      <c r="CS66" s="72">
        <f>-IF(CS62&gt;(PosPUDL1+3),PUDL1l*(CS62-PosPUDL1-3)^4/24,0)</f>
        <v>-6.3967505066667032</v>
      </c>
      <c r="CT66" s="72">
        <f>-IF(CT62&gt;(PosPUDL1+3),PUDL1l*(CT62-PosPUDL1-3)^4/24,0)</f>
        <v>-6.9984000000000393</v>
      </c>
      <c r="CU66" s="72">
        <f>-IF(CU62&gt;(PosPUDL1+3),PUDL1l*(CU62-PosPUDL1-3)^4/24,0)</f>
        <v>-7.6415249066667092</v>
      </c>
      <c r="CV66" s="72">
        <f>-IF(CV62&gt;(PosPUDL1+3),PUDL1l*(CV62-PosPUDL1-3)^4/24,0)</f>
        <v>-8.3279889066667128</v>
      </c>
      <c r="CW66" s="72">
        <f>-IF(CW62&gt;(PosPUDL1+3),PUDL1l*(CW62-PosPUDL1-3)^4/24,0)</f>
        <v>-9.05969664000005</v>
      </c>
      <c r="CX66" s="72">
        <f>-IF(CX62&gt;(PosPUDL1+3),PUDL1l*(CX62-PosPUDL1-3)^4/24,0)</f>
        <v>-9.8385937066667193</v>
      </c>
      <c r="CY66" s="72">
        <f>-IF(CY62&gt;(PosPUDL1+3),PUDL1l*(CY62-PosPUDL1-3)^4/24,0)</f>
        <v>-10.666666666666723</v>
      </c>
      <c r="CZ66" s="2"/>
      <c r="DA66" s="2"/>
    </row>
    <row r="67" spans="2:105">
      <c r="B67" s="3" t="s">
        <v>278</v>
      </c>
      <c r="C67" s="71">
        <f t="shared" ref="C67:AH67" si="29">IF(PosPUDL2&lt;C62,PUDL2l*(C62-PosPUDL2)^4/24,0)</f>
        <v>0</v>
      </c>
      <c r="D67" s="72">
        <f t="shared" si="29"/>
        <v>0</v>
      </c>
      <c r="E67" s="72">
        <f t="shared" si="29"/>
        <v>0</v>
      </c>
      <c r="F67" s="72">
        <f t="shared" si="29"/>
        <v>0</v>
      </c>
      <c r="G67" s="72">
        <f t="shared" si="29"/>
        <v>0</v>
      </c>
      <c r="H67" s="72">
        <f t="shared" si="29"/>
        <v>0</v>
      </c>
      <c r="I67" s="72">
        <f t="shared" si="29"/>
        <v>0</v>
      </c>
      <c r="J67" s="72">
        <f t="shared" si="29"/>
        <v>0</v>
      </c>
      <c r="K67" s="72">
        <f t="shared" si="29"/>
        <v>0</v>
      </c>
      <c r="L67" s="72">
        <f t="shared" si="29"/>
        <v>0</v>
      </c>
      <c r="M67" s="72">
        <f t="shared" si="29"/>
        <v>0</v>
      </c>
      <c r="N67" s="72">
        <f t="shared" si="29"/>
        <v>0</v>
      </c>
      <c r="O67" s="72">
        <f t="shared" si="29"/>
        <v>0</v>
      </c>
      <c r="P67" s="72">
        <f t="shared" si="29"/>
        <v>0</v>
      </c>
      <c r="Q67" s="72">
        <f t="shared" si="29"/>
        <v>0</v>
      </c>
      <c r="R67" s="72">
        <f t="shared" si="29"/>
        <v>0</v>
      </c>
      <c r="S67" s="72">
        <f t="shared" si="29"/>
        <v>0</v>
      </c>
      <c r="T67" s="72">
        <f t="shared" si="29"/>
        <v>0</v>
      </c>
      <c r="U67" s="72">
        <f t="shared" si="29"/>
        <v>0</v>
      </c>
      <c r="V67" s="72">
        <f t="shared" si="29"/>
        <v>0</v>
      </c>
      <c r="W67" s="72">
        <f t="shared" si="29"/>
        <v>0</v>
      </c>
      <c r="X67" s="72">
        <f t="shared" si="29"/>
        <v>0</v>
      </c>
      <c r="Y67" s="72">
        <f t="shared" si="29"/>
        <v>0</v>
      </c>
      <c r="Z67" s="72">
        <f t="shared" si="29"/>
        <v>0</v>
      </c>
      <c r="AA67" s="72">
        <f t="shared" si="29"/>
        <v>0</v>
      </c>
      <c r="AB67" s="72">
        <f t="shared" si="29"/>
        <v>0</v>
      </c>
      <c r="AC67" s="72">
        <f t="shared" si="29"/>
        <v>0</v>
      </c>
      <c r="AD67" s="72">
        <f t="shared" si="29"/>
        <v>0</v>
      </c>
      <c r="AE67" s="72">
        <f t="shared" si="29"/>
        <v>0</v>
      </c>
      <c r="AF67" s="72">
        <f t="shared" si="29"/>
        <v>0</v>
      </c>
      <c r="AG67" s="72">
        <f t="shared" si="29"/>
        <v>0</v>
      </c>
      <c r="AH67" s="72">
        <f t="shared" si="29"/>
        <v>0</v>
      </c>
      <c r="AI67" s="72">
        <f t="shared" ref="AI67:BN67" si="30">IF(PosPUDL2&lt;AI62,PUDL2l*(AI62-PosPUDL2)^4/24,0)</f>
        <v>0</v>
      </c>
      <c r="AJ67" s="72">
        <f t="shared" si="30"/>
        <v>0</v>
      </c>
      <c r="AK67" s="72">
        <f t="shared" si="30"/>
        <v>0</v>
      </c>
      <c r="AL67" s="72">
        <f t="shared" si="30"/>
        <v>0</v>
      </c>
      <c r="AM67" s="72">
        <f t="shared" si="30"/>
        <v>0</v>
      </c>
      <c r="AN67" s="72">
        <f t="shared" si="30"/>
        <v>0</v>
      </c>
      <c r="AO67" s="72">
        <f t="shared" si="30"/>
        <v>0</v>
      </c>
      <c r="AP67" s="72">
        <f t="shared" si="30"/>
        <v>0</v>
      </c>
      <c r="AQ67" s="72">
        <f t="shared" si="30"/>
        <v>0</v>
      </c>
      <c r="AR67" s="72">
        <f t="shared" si="30"/>
        <v>0</v>
      </c>
      <c r="AS67" s="72">
        <f t="shared" si="30"/>
        <v>0</v>
      </c>
      <c r="AT67" s="72">
        <f t="shared" si="30"/>
        <v>0</v>
      </c>
      <c r="AU67" s="72">
        <f t="shared" si="30"/>
        <v>0</v>
      </c>
      <c r="AV67" s="72">
        <f t="shared" si="30"/>
        <v>0</v>
      </c>
      <c r="AW67" s="72">
        <f t="shared" si="30"/>
        <v>0</v>
      </c>
      <c r="AX67" s="72">
        <f t="shared" si="30"/>
        <v>0</v>
      </c>
      <c r="AY67" s="72">
        <f t="shared" si="30"/>
        <v>0</v>
      </c>
      <c r="AZ67" s="72">
        <f t="shared" si="30"/>
        <v>0</v>
      </c>
      <c r="BA67" s="72">
        <f t="shared" si="30"/>
        <v>0</v>
      </c>
      <c r="BB67" s="72">
        <f t="shared" si="30"/>
        <v>0</v>
      </c>
      <c r="BC67" s="72">
        <f t="shared" si="30"/>
        <v>0</v>
      </c>
      <c r="BD67" s="72">
        <f t="shared" si="30"/>
        <v>0</v>
      </c>
      <c r="BE67" s="72">
        <f t="shared" si="30"/>
        <v>0</v>
      </c>
      <c r="BF67" s="72">
        <f t="shared" si="30"/>
        <v>0</v>
      </c>
      <c r="BG67" s="72">
        <f t="shared" si="30"/>
        <v>0</v>
      </c>
      <c r="BH67" s="72">
        <f t="shared" si="30"/>
        <v>0</v>
      </c>
      <c r="BI67" s="72">
        <f t="shared" si="30"/>
        <v>0</v>
      </c>
      <c r="BJ67" s="72">
        <f t="shared" si="30"/>
        <v>0</v>
      </c>
      <c r="BK67" s="72">
        <f t="shared" si="30"/>
        <v>0</v>
      </c>
      <c r="BL67" s="72">
        <f t="shared" si="30"/>
        <v>0</v>
      </c>
      <c r="BM67" s="72">
        <f t="shared" si="30"/>
        <v>0</v>
      </c>
      <c r="BN67" s="72">
        <f t="shared" si="30"/>
        <v>0</v>
      </c>
      <c r="BO67" s="72">
        <f t="shared" ref="BO67:CY67" si="31">IF(PosPUDL2&lt;BO62,PUDL2l*(BO62-PosPUDL2)^4/24,0)</f>
        <v>0</v>
      </c>
      <c r="BP67" s="72">
        <f t="shared" si="31"/>
        <v>0</v>
      </c>
      <c r="BQ67" s="72">
        <f t="shared" si="31"/>
        <v>0</v>
      </c>
      <c r="BR67" s="72">
        <f t="shared" si="31"/>
        <v>0</v>
      </c>
      <c r="BS67" s="72">
        <f t="shared" si="31"/>
        <v>0</v>
      </c>
      <c r="BT67" s="72">
        <f t="shared" si="31"/>
        <v>0</v>
      </c>
      <c r="BU67" s="72">
        <f t="shared" si="31"/>
        <v>0</v>
      </c>
      <c r="BV67" s="72">
        <f t="shared" si="31"/>
        <v>0</v>
      </c>
      <c r="BW67" s="72">
        <f t="shared" si="31"/>
        <v>0</v>
      </c>
      <c r="BX67" s="72">
        <f t="shared" si="31"/>
        <v>0</v>
      </c>
      <c r="BY67" s="72">
        <f t="shared" si="31"/>
        <v>0</v>
      </c>
      <c r="BZ67" s="72">
        <f t="shared" si="31"/>
        <v>0</v>
      </c>
      <c r="CA67" s="72">
        <f t="shared" si="31"/>
        <v>0</v>
      </c>
      <c r="CB67" s="72">
        <f t="shared" si="31"/>
        <v>0</v>
      </c>
      <c r="CC67" s="72">
        <f t="shared" si="31"/>
        <v>0</v>
      </c>
      <c r="CD67" s="72">
        <f t="shared" si="31"/>
        <v>0</v>
      </c>
      <c r="CE67" s="72">
        <f t="shared" si="31"/>
        <v>0</v>
      </c>
      <c r="CF67" s="72">
        <f t="shared" si="31"/>
        <v>0</v>
      </c>
      <c r="CG67" s="72">
        <f t="shared" si="31"/>
        <v>0</v>
      </c>
      <c r="CH67" s="72">
        <f t="shared" si="31"/>
        <v>0</v>
      </c>
      <c r="CI67" s="72">
        <f t="shared" si="31"/>
        <v>0</v>
      </c>
      <c r="CJ67" s="72">
        <f t="shared" si="31"/>
        <v>0</v>
      </c>
      <c r="CK67" s="72">
        <f t="shared" si="31"/>
        <v>0</v>
      </c>
      <c r="CL67" s="72">
        <f t="shared" si="31"/>
        <v>0</v>
      </c>
      <c r="CM67" s="72">
        <f t="shared" si="31"/>
        <v>0</v>
      </c>
      <c r="CN67" s="72">
        <f t="shared" si="31"/>
        <v>0</v>
      </c>
      <c r="CO67" s="72">
        <f t="shared" si="31"/>
        <v>0</v>
      </c>
      <c r="CP67" s="72">
        <f t="shared" si="31"/>
        <v>0</v>
      </c>
      <c r="CQ67" s="72">
        <f t="shared" si="31"/>
        <v>0</v>
      </c>
      <c r="CR67" s="72">
        <f t="shared" si="31"/>
        <v>0</v>
      </c>
      <c r="CS67" s="72">
        <f t="shared" si="31"/>
        <v>0</v>
      </c>
      <c r="CT67" s="72">
        <f t="shared" si="31"/>
        <v>0</v>
      </c>
      <c r="CU67" s="72">
        <f t="shared" si="31"/>
        <v>0</v>
      </c>
      <c r="CV67" s="72">
        <f t="shared" si="31"/>
        <v>0</v>
      </c>
      <c r="CW67" s="72">
        <f t="shared" si="31"/>
        <v>0</v>
      </c>
      <c r="CX67" s="72">
        <f t="shared" si="31"/>
        <v>0</v>
      </c>
      <c r="CY67" s="72">
        <f t="shared" si="31"/>
        <v>0</v>
      </c>
      <c r="CZ67" s="2"/>
      <c r="DA67" s="2"/>
    </row>
    <row r="68" spans="2:105">
      <c r="B68" s="3" t="s">
        <v>280</v>
      </c>
      <c r="C68" s="71">
        <f t="shared" ref="C68:AH68" si="32">-IF(C62&gt;(PosPUDL2+LePUDL2),PUDL2l*(C62-PosPUDL2-LePUDL2)^4/24,0)</f>
        <v>0</v>
      </c>
      <c r="D68" s="72">
        <f t="shared" si="32"/>
        <v>0</v>
      </c>
      <c r="E68" s="72">
        <f t="shared" si="32"/>
        <v>0</v>
      </c>
      <c r="F68" s="72">
        <f t="shared" si="32"/>
        <v>0</v>
      </c>
      <c r="G68" s="72">
        <f t="shared" si="32"/>
        <v>0</v>
      </c>
      <c r="H68" s="72">
        <f t="shared" si="32"/>
        <v>0</v>
      </c>
      <c r="I68" s="72">
        <f t="shared" si="32"/>
        <v>0</v>
      </c>
      <c r="J68" s="72">
        <f t="shared" si="32"/>
        <v>0</v>
      </c>
      <c r="K68" s="72">
        <f t="shared" si="32"/>
        <v>0</v>
      </c>
      <c r="L68" s="72">
        <f t="shared" si="32"/>
        <v>0</v>
      </c>
      <c r="M68" s="72">
        <f t="shared" si="32"/>
        <v>0</v>
      </c>
      <c r="N68" s="72">
        <f t="shared" si="32"/>
        <v>0</v>
      </c>
      <c r="O68" s="72">
        <f t="shared" si="32"/>
        <v>0</v>
      </c>
      <c r="P68" s="72">
        <f t="shared" si="32"/>
        <v>0</v>
      </c>
      <c r="Q68" s="72">
        <f t="shared" si="32"/>
        <v>0</v>
      </c>
      <c r="R68" s="72">
        <f t="shared" si="32"/>
        <v>0</v>
      </c>
      <c r="S68" s="72">
        <f t="shared" si="32"/>
        <v>0</v>
      </c>
      <c r="T68" s="72">
        <f t="shared" si="32"/>
        <v>0</v>
      </c>
      <c r="U68" s="72">
        <f t="shared" si="32"/>
        <v>0</v>
      </c>
      <c r="V68" s="72">
        <f t="shared" si="32"/>
        <v>0</v>
      </c>
      <c r="W68" s="72">
        <f t="shared" si="32"/>
        <v>0</v>
      </c>
      <c r="X68" s="72">
        <f t="shared" si="32"/>
        <v>0</v>
      </c>
      <c r="Y68" s="72">
        <f t="shared" si="32"/>
        <v>0</v>
      </c>
      <c r="Z68" s="72">
        <f t="shared" si="32"/>
        <v>0</v>
      </c>
      <c r="AA68" s="72">
        <f t="shared" si="32"/>
        <v>0</v>
      </c>
      <c r="AB68" s="72">
        <f t="shared" si="32"/>
        <v>0</v>
      </c>
      <c r="AC68" s="72">
        <f t="shared" si="32"/>
        <v>0</v>
      </c>
      <c r="AD68" s="72">
        <f t="shared" si="32"/>
        <v>0</v>
      </c>
      <c r="AE68" s="72">
        <f t="shared" si="32"/>
        <v>0</v>
      </c>
      <c r="AF68" s="72">
        <f t="shared" si="32"/>
        <v>0</v>
      </c>
      <c r="AG68" s="72">
        <f t="shared" si="32"/>
        <v>0</v>
      </c>
      <c r="AH68" s="72">
        <f t="shared" si="32"/>
        <v>0</v>
      </c>
      <c r="AI68" s="72">
        <f t="shared" ref="AI68:BN68" si="33">-IF(AI62&gt;(PosPUDL2+LePUDL2),PUDL2l*(AI62-PosPUDL2-LePUDL2)^4/24,0)</f>
        <v>0</v>
      </c>
      <c r="AJ68" s="72">
        <f t="shared" si="33"/>
        <v>0</v>
      </c>
      <c r="AK68" s="72">
        <f t="shared" si="33"/>
        <v>0</v>
      </c>
      <c r="AL68" s="72">
        <f t="shared" si="33"/>
        <v>0</v>
      </c>
      <c r="AM68" s="72">
        <f t="shared" si="33"/>
        <v>0</v>
      </c>
      <c r="AN68" s="72">
        <f t="shared" si="33"/>
        <v>0</v>
      </c>
      <c r="AO68" s="72">
        <f t="shared" si="33"/>
        <v>0</v>
      </c>
      <c r="AP68" s="72">
        <f t="shared" si="33"/>
        <v>0</v>
      </c>
      <c r="AQ68" s="72">
        <f t="shared" si="33"/>
        <v>0</v>
      </c>
      <c r="AR68" s="72">
        <f t="shared" si="33"/>
        <v>0</v>
      </c>
      <c r="AS68" s="72">
        <f t="shared" si="33"/>
        <v>0</v>
      </c>
      <c r="AT68" s="72">
        <f t="shared" si="33"/>
        <v>0</v>
      </c>
      <c r="AU68" s="72">
        <f t="shared" si="33"/>
        <v>0</v>
      </c>
      <c r="AV68" s="72">
        <f t="shared" si="33"/>
        <v>0</v>
      </c>
      <c r="AW68" s="72">
        <f t="shared" si="33"/>
        <v>0</v>
      </c>
      <c r="AX68" s="72">
        <f t="shared" si="33"/>
        <v>0</v>
      </c>
      <c r="AY68" s="72">
        <f t="shared" si="33"/>
        <v>0</v>
      </c>
      <c r="AZ68" s="72">
        <f t="shared" si="33"/>
        <v>0</v>
      </c>
      <c r="BA68" s="72">
        <f t="shared" si="33"/>
        <v>0</v>
      </c>
      <c r="BB68" s="72">
        <f t="shared" si="33"/>
        <v>0</v>
      </c>
      <c r="BC68" s="72">
        <f t="shared" si="33"/>
        <v>0</v>
      </c>
      <c r="BD68" s="72">
        <f t="shared" si="33"/>
        <v>0</v>
      </c>
      <c r="BE68" s="72">
        <f t="shared" si="33"/>
        <v>0</v>
      </c>
      <c r="BF68" s="72">
        <f t="shared" si="33"/>
        <v>0</v>
      </c>
      <c r="BG68" s="72">
        <f t="shared" si="33"/>
        <v>0</v>
      </c>
      <c r="BH68" s="72">
        <f t="shared" si="33"/>
        <v>0</v>
      </c>
      <c r="BI68" s="72">
        <f t="shared" si="33"/>
        <v>0</v>
      </c>
      <c r="BJ68" s="72">
        <f t="shared" si="33"/>
        <v>0</v>
      </c>
      <c r="BK68" s="72">
        <f t="shared" si="33"/>
        <v>0</v>
      </c>
      <c r="BL68" s="72">
        <f t="shared" si="33"/>
        <v>0</v>
      </c>
      <c r="BM68" s="72">
        <f t="shared" si="33"/>
        <v>0</v>
      </c>
      <c r="BN68" s="72">
        <f t="shared" si="33"/>
        <v>0</v>
      </c>
      <c r="BO68" s="72">
        <f t="shared" ref="BO68:CY68" si="34">-IF(BO62&gt;(PosPUDL2+LePUDL2),PUDL2l*(BO62-PosPUDL2-LePUDL2)^4/24,0)</f>
        <v>0</v>
      </c>
      <c r="BP68" s="72">
        <f t="shared" si="34"/>
        <v>0</v>
      </c>
      <c r="BQ68" s="72">
        <f t="shared" si="34"/>
        <v>0</v>
      </c>
      <c r="BR68" s="72">
        <f t="shared" si="34"/>
        <v>0</v>
      </c>
      <c r="BS68" s="72">
        <f t="shared" si="34"/>
        <v>0</v>
      </c>
      <c r="BT68" s="72">
        <f t="shared" si="34"/>
        <v>0</v>
      </c>
      <c r="BU68" s="72">
        <f t="shared" si="34"/>
        <v>0</v>
      </c>
      <c r="BV68" s="72">
        <f t="shared" si="34"/>
        <v>0</v>
      </c>
      <c r="BW68" s="72">
        <f t="shared" si="34"/>
        <v>0</v>
      </c>
      <c r="BX68" s="72">
        <f t="shared" si="34"/>
        <v>0</v>
      </c>
      <c r="BY68" s="72">
        <f t="shared" si="34"/>
        <v>0</v>
      </c>
      <c r="BZ68" s="72">
        <f t="shared" si="34"/>
        <v>0</v>
      </c>
      <c r="CA68" s="72">
        <f t="shared" si="34"/>
        <v>0</v>
      </c>
      <c r="CB68" s="72">
        <f t="shared" si="34"/>
        <v>0</v>
      </c>
      <c r="CC68" s="72">
        <f t="shared" si="34"/>
        <v>0</v>
      </c>
      <c r="CD68" s="72">
        <f t="shared" si="34"/>
        <v>0</v>
      </c>
      <c r="CE68" s="72">
        <f t="shared" si="34"/>
        <v>0</v>
      </c>
      <c r="CF68" s="72">
        <f t="shared" si="34"/>
        <v>0</v>
      </c>
      <c r="CG68" s="72">
        <f t="shared" si="34"/>
        <v>0</v>
      </c>
      <c r="CH68" s="72">
        <f t="shared" si="34"/>
        <v>0</v>
      </c>
      <c r="CI68" s="72">
        <f t="shared" si="34"/>
        <v>0</v>
      </c>
      <c r="CJ68" s="72">
        <f t="shared" si="34"/>
        <v>0</v>
      </c>
      <c r="CK68" s="72">
        <f t="shared" si="34"/>
        <v>0</v>
      </c>
      <c r="CL68" s="72">
        <f t="shared" si="34"/>
        <v>0</v>
      </c>
      <c r="CM68" s="72">
        <f t="shared" si="34"/>
        <v>0</v>
      </c>
      <c r="CN68" s="72">
        <f t="shared" si="34"/>
        <v>0</v>
      </c>
      <c r="CO68" s="72">
        <f t="shared" si="34"/>
        <v>0</v>
      </c>
      <c r="CP68" s="72">
        <f t="shared" si="34"/>
        <v>0</v>
      </c>
      <c r="CQ68" s="72">
        <f t="shared" si="34"/>
        <v>0</v>
      </c>
      <c r="CR68" s="72">
        <f t="shared" si="34"/>
        <v>0</v>
      </c>
      <c r="CS68" s="72">
        <f t="shared" si="34"/>
        <v>0</v>
      </c>
      <c r="CT68" s="72">
        <f t="shared" si="34"/>
        <v>0</v>
      </c>
      <c r="CU68" s="72">
        <f t="shared" si="34"/>
        <v>0</v>
      </c>
      <c r="CV68" s="72">
        <f t="shared" si="34"/>
        <v>0</v>
      </c>
      <c r="CW68" s="72">
        <f t="shared" si="34"/>
        <v>0</v>
      </c>
      <c r="CX68" s="72">
        <f t="shared" si="34"/>
        <v>0</v>
      </c>
      <c r="CY68" s="72">
        <f t="shared" si="34"/>
        <v>0</v>
      </c>
      <c r="CZ68" s="2"/>
      <c r="DA68" s="2"/>
    </row>
    <row r="69" spans="2:105">
      <c r="B69" s="3" t="s">
        <v>48</v>
      </c>
      <c r="C69" s="71">
        <f t="shared" ref="C69:AH69" si="35">IF(C62&gt;PosPLa1,PLa1l*(C62-PosPLa1)^3/6,0)</f>
        <v>0</v>
      </c>
      <c r="D69" s="72">
        <f t="shared" si="35"/>
        <v>0</v>
      </c>
      <c r="E69" s="72">
        <f t="shared" si="35"/>
        <v>0</v>
      </c>
      <c r="F69" s="72">
        <f t="shared" si="35"/>
        <v>0</v>
      </c>
      <c r="G69" s="72">
        <f t="shared" si="35"/>
        <v>0</v>
      </c>
      <c r="H69" s="72">
        <f t="shared" si="35"/>
        <v>0</v>
      </c>
      <c r="I69" s="72">
        <f t="shared" si="35"/>
        <v>0</v>
      </c>
      <c r="J69" s="72">
        <f t="shared" si="35"/>
        <v>0</v>
      </c>
      <c r="K69" s="72">
        <f t="shared" si="35"/>
        <v>0</v>
      </c>
      <c r="L69" s="72">
        <f t="shared" si="35"/>
        <v>0</v>
      </c>
      <c r="M69" s="72">
        <f t="shared" si="35"/>
        <v>0</v>
      </c>
      <c r="N69" s="72">
        <f t="shared" si="35"/>
        <v>0</v>
      </c>
      <c r="O69" s="72">
        <f t="shared" si="35"/>
        <v>0</v>
      </c>
      <c r="P69" s="72">
        <f t="shared" si="35"/>
        <v>0</v>
      </c>
      <c r="Q69" s="72">
        <f t="shared" si="35"/>
        <v>0</v>
      </c>
      <c r="R69" s="72">
        <f t="shared" si="35"/>
        <v>0</v>
      </c>
      <c r="S69" s="72">
        <f t="shared" si="35"/>
        <v>0</v>
      </c>
      <c r="T69" s="72">
        <f t="shared" si="35"/>
        <v>0</v>
      </c>
      <c r="U69" s="72">
        <f t="shared" si="35"/>
        <v>0</v>
      </c>
      <c r="V69" s="72">
        <f t="shared" si="35"/>
        <v>0</v>
      </c>
      <c r="W69" s="72">
        <f t="shared" si="35"/>
        <v>0</v>
      </c>
      <c r="X69" s="72">
        <f t="shared" si="35"/>
        <v>0</v>
      </c>
      <c r="Y69" s="72">
        <f t="shared" si="35"/>
        <v>0</v>
      </c>
      <c r="Z69" s="72">
        <f t="shared" si="35"/>
        <v>0</v>
      </c>
      <c r="AA69" s="72">
        <f t="shared" si="35"/>
        <v>0</v>
      </c>
      <c r="AB69" s="72">
        <f t="shared" si="35"/>
        <v>0</v>
      </c>
      <c r="AC69" s="72">
        <f t="shared" si="35"/>
        <v>0</v>
      </c>
      <c r="AD69" s="72">
        <f t="shared" si="35"/>
        <v>0</v>
      </c>
      <c r="AE69" s="72">
        <f t="shared" si="35"/>
        <v>0</v>
      </c>
      <c r="AF69" s="72">
        <f t="shared" si="35"/>
        <v>0</v>
      </c>
      <c r="AG69" s="72">
        <f t="shared" si="35"/>
        <v>0</v>
      </c>
      <c r="AH69" s="72">
        <f t="shared" si="35"/>
        <v>0</v>
      </c>
      <c r="AI69" s="72">
        <f t="shared" ref="AI69:BN69" si="36">IF(AI62&gt;PosPLa1,PLa1l*(AI62-PosPLa1)^3/6,0)</f>
        <v>0</v>
      </c>
      <c r="AJ69" s="72">
        <f t="shared" si="36"/>
        <v>0</v>
      </c>
      <c r="AK69" s="72">
        <f t="shared" si="36"/>
        <v>0</v>
      </c>
      <c r="AL69" s="72">
        <f t="shared" si="36"/>
        <v>0</v>
      </c>
      <c r="AM69" s="72">
        <f t="shared" si="36"/>
        <v>0</v>
      </c>
      <c r="AN69" s="72">
        <f t="shared" si="36"/>
        <v>0</v>
      </c>
      <c r="AO69" s="72">
        <f t="shared" si="36"/>
        <v>2.133333333333552E-5</v>
      </c>
      <c r="AP69" s="72">
        <f t="shared" si="36"/>
        <v>5.7600000000002072E-4</v>
      </c>
      <c r="AQ69" s="72">
        <f t="shared" si="36"/>
        <v>2.6666666666667269E-3</v>
      </c>
      <c r="AR69" s="72">
        <f t="shared" si="36"/>
        <v>7.3173333333334568E-3</v>
      </c>
      <c r="AS69" s="72">
        <f t="shared" si="36"/>
        <v>1.5552000000000213E-2</v>
      </c>
      <c r="AT69" s="72">
        <f t="shared" si="36"/>
        <v>2.8394666666667002E-2</v>
      </c>
      <c r="AU69" s="72">
        <f t="shared" si="36"/>
        <v>4.6869333333333818E-2</v>
      </c>
      <c r="AV69" s="72">
        <f t="shared" si="36"/>
        <v>7.2000000000000675E-2</v>
      </c>
      <c r="AW69" s="72">
        <f t="shared" si="36"/>
        <v>0.10481066666666757</v>
      </c>
      <c r="AX69" s="72">
        <f t="shared" si="36"/>
        <v>0.14632533333333447</v>
      </c>
      <c r="AY69" s="72">
        <f t="shared" si="36"/>
        <v>0.19756800000000144</v>
      </c>
      <c r="AZ69" s="72">
        <f t="shared" si="36"/>
        <v>0.2595626666666685</v>
      </c>
      <c r="BA69" s="72">
        <f t="shared" si="36"/>
        <v>0.33333333333333509</v>
      </c>
      <c r="BB69" s="72">
        <f t="shared" si="36"/>
        <v>0.41990400000000222</v>
      </c>
      <c r="BC69" s="72">
        <f t="shared" si="36"/>
        <v>0.52029866666666924</v>
      </c>
      <c r="BD69" s="72">
        <f t="shared" si="36"/>
        <v>0.6355413333333364</v>
      </c>
      <c r="BE69" s="72">
        <f t="shared" si="36"/>
        <v>0.76665600000000367</v>
      </c>
      <c r="BF69" s="72">
        <f t="shared" si="36"/>
        <v>0.91466666666667085</v>
      </c>
      <c r="BG69" s="72">
        <f t="shared" si="36"/>
        <v>1.0805973333333381</v>
      </c>
      <c r="BH69" s="72">
        <f t="shared" si="36"/>
        <v>1.2654720000000057</v>
      </c>
      <c r="BI69" s="72">
        <f t="shared" si="36"/>
        <v>1.4703146666666729</v>
      </c>
      <c r="BJ69" s="72">
        <f t="shared" si="36"/>
        <v>1.6961493333333404</v>
      </c>
      <c r="BK69" s="72">
        <f t="shared" si="36"/>
        <v>1.9440000000000082</v>
      </c>
      <c r="BL69" s="72">
        <f t="shared" si="36"/>
        <v>2.2148906666666757</v>
      </c>
      <c r="BM69" s="72">
        <f t="shared" si="36"/>
        <v>2.5098453333333435</v>
      </c>
      <c r="BN69" s="72">
        <f t="shared" si="36"/>
        <v>2.8298880000000111</v>
      </c>
      <c r="BO69" s="72">
        <f t="shared" ref="BO69:CY69" si="37">IF(BO62&gt;PosPLa1,PLa1l*(BO62-PosPLa1)^3/6,0)</f>
        <v>3.1760426666666794</v>
      </c>
      <c r="BP69" s="72">
        <f t="shared" si="37"/>
        <v>3.549333333333347</v>
      </c>
      <c r="BQ69" s="72">
        <f t="shared" si="37"/>
        <v>3.9507840000000152</v>
      </c>
      <c r="BR69" s="72">
        <f t="shared" si="37"/>
        <v>4.3814186666666828</v>
      </c>
      <c r="BS69" s="72">
        <f t="shared" si="37"/>
        <v>4.8422613333333517</v>
      </c>
      <c r="BT69" s="72">
        <f t="shared" si="37"/>
        <v>5.3343360000000191</v>
      </c>
      <c r="BU69" s="72">
        <f t="shared" si="37"/>
        <v>5.8586666666666884</v>
      </c>
      <c r="BV69" s="72">
        <f t="shared" si="37"/>
        <v>6.4162773333333574</v>
      </c>
      <c r="BW69" s="72">
        <f t="shared" si="37"/>
        <v>7.0081920000000251</v>
      </c>
      <c r="BX69" s="72">
        <f t="shared" si="37"/>
        <v>7.6354346666666943</v>
      </c>
      <c r="BY69" s="72">
        <f t="shared" si="37"/>
        <v>8.2990293333333636</v>
      </c>
      <c r="BZ69" s="72">
        <f t="shared" si="37"/>
        <v>9.000000000000032</v>
      </c>
      <c r="CA69" s="72">
        <f t="shared" si="37"/>
        <v>9.7393706666667015</v>
      </c>
      <c r="CB69" s="72">
        <f t="shared" si="37"/>
        <v>10.51816533333337</v>
      </c>
      <c r="CC69" s="72">
        <f t="shared" si="37"/>
        <v>11.337408000000041</v>
      </c>
      <c r="CD69" s="72">
        <f t="shared" si="37"/>
        <v>12.198122666666711</v>
      </c>
      <c r="CE69" s="72">
        <f t="shared" si="37"/>
        <v>13.101333333333379</v>
      </c>
      <c r="CF69" s="72">
        <f t="shared" si="37"/>
        <v>14.048064000000046</v>
      </c>
      <c r="CG69" s="72">
        <f t="shared" si="37"/>
        <v>15.039338666666717</v>
      </c>
      <c r="CH69" s="72">
        <f t="shared" si="37"/>
        <v>16.076181333333388</v>
      </c>
      <c r="CI69" s="72">
        <f t="shared" si="37"/>
        <v>17.15961600000006</v>
      </c>
      <c r="CJ69" s="72">
        <f t="shared" si="37"/>
        <v>18.290666666666727</v>
      </c>
      <c r="CK69" s="72">
        <f t="shared" si="37"/>
        <v>19.4703573333334</v>
      </c>
      <c r="CL69" s="72">
        <f t="shared" si="37"/>
        <v>20.699712000000069</v>
      </c>
      <c r="CM69" s="72">
        <f t="shared" si="37"/>
        <v>21.979754666666739</v>
      </c>
      <c r="CN69" s="72">
        <f t="shared" si="37"/>
        <v>23.311509333333415</v>
      </c>
      <c r="CO69" s="72">
        <f t="shared" si="37"/>
        <v>24.696000000000083</v>
      </c>
      <c r="CP69" s="72">
        <f t="shared" si="37"/>
        <v>26.134250666666748</v>
      </c>
      <c r="CQ69" s="72">
        <f t="shared" si="37"/>
        <v>27.627285333333422</v>
      </c>
      <c r="CR69" s="72">
        <f t="shared" si="37"/>
        <v>29.176128000000094</v>
      </c>
      <c r="CS69" s="72">
        <f t="shared" si="37"/>
        <v>30.781802666666767</v>
      </c>
      <c r="CT69" s="72">
        <f t="shared" si="37"/>
        <v>32.445333333333444</v>
      </c>
      <c r="CU69" s="72">
        <f t="shared" si="37"/>
        <v>34.167744000000106</v>
      </c>
      <c r="CV69" s="72">
        <f t="shared" si="37"/>
        <v>35.950058666666784</v>
      </c>
      <c r="CW69" s="72">
        <f t="shared" si="37"/>
        <v>37.793301333333453</v>
      </c>
      <c r="CX69" s="72">
        <f t="shared" si="37"/>
        <v>39.698496000000127</v>
      </c>
      <c r="CY69" s="72">
        <f t="shared" si="37"/>
        <v>41.666666666666799</v>
      </c>
      <c r="CZ69" s="2"/>
      <c r="DA69" s="2"/>
    </row>
    <row r="70" spans="2:105">
      <c r="B70" s="3" t="s">
        <v>49</v>
      </c>
      <c r="C70" s="71">
        <f t="shared" ref="C70:AH70" si="38">IF(C62&gt;PosPLb1,PLb1l*(C62-PosPLb1)^3/6,0)</f>
        <v>0</v>
      </c>
      <c r="D70" s="72">
        <f t="shared" si="38"/>
        <v>0</v>
      </c>
      <c r="E70" s="72">
        <f t="shared" si="38"/>
        <v>0</v>
      </c>
      <c r="F70" s="72">
        <f t="shared" si="38"/>
        <v>0</v>
      </c>
      <c r="G70" s="72">
        <f t="shared" si="38"/>
        <v>0</v>
      </c>
      <c r="H70" s="72">
        <f t="shared" si="38"/>
        <v>0</v>
      </c>
      <c r="I70" s="72">
        <f t="shared" si="38"/>
        <v>0</v>
      </c>
      <c r="J70" s="72">
        <f t="shared" si="38"/>
        <v>0</v>
      </c>
      <c r="K70" s="72">
        <f t="shared" si="38"/>
        <v>0</v>
      </c>
      <c r="L70" s="72">
        <f t="shared" si="38"/>
        <v>0</v>
      </c>
      <c r="M70" s="72">
        <f t="shared" si="38"/>
        <v>0</v>
      </c>
      <c r="N70" s="72">
        <f t="shared" si="38"/>
        <v>0</v>
      </c>
      <c r="O70" s="72">
        <f t="shared" si="38"/>
        <v>0</v>
      </c>
      <c r="P70" s="72">
        <f t="shared" si="38"/>
        <v>0</v>
      </c>
      <c r="Q70" s="72">
        <f t="shared" si="38"/>
        <v>0</v>
      </c>
      <c r="R70" s="72">
        <f t="shared" si="38"/>
        <v>0</v>
      </c>
      <c r="S70" s="72">
        <f t="shared" si="38"/>
        <v>0</v>
      </c>
      <c r="T70" s="72">
        <f t="shared" si="38"/>
        <v>0</v>
      </c>
      <c r="U70" s="72">
        <f t="shared" si="38"/>
        <v>0</v>
      </c>
      <c r="V70" s="72">
        <f t="shared" si="38"/>
        <v>0</v>
      </c>
      <c r="W70" s="72">
        <f t="shared" si="38"/>
        <v>0</v>
      </c>
      <c r="X70" s="72">
        <f t="shared" si="38"/>
        <v>0</v>
      </c>
      <c r="Y70" s="72">
        <f t="shared" si="38"/>
        <v>0</v>
      </c>
      <c r="Z70" s="72">
        <f t="shared" si="38"/>
        <v>0</v>
      </c>
      <c r="AA70" s="72">
        <f t="shared" si="38"/>
        <v>0</v>
      </c>
      <c r="AB70" s="72">
        <f t="shared" si="38"/>
        <v>0</v>
      </c>
      <c r="AC70" s="72">
        <f t="shared" si="38"/>
        <v>0</v>
      </c>
      <c r="AD70" s="72">
        <f t="shared" si="38"/>
        <v>0</v>
      </c>
      <c r="AE70" s="72">
        <f t="shared" si="38"/>
        <v>0</v>
      </c>
      <c r="AF70" s="72">
        <f t="shared" si="38"/>
        <v>0</v>
      </c>
      <c r="AG70" s="72">
        <f t="shared" si="38"/>
        <v>0</v>
      </c>
      <c r="AH70" s="72">
        <f t="shared" si="38"/>
        <v>0</v>
      </c>
      <c r="AI70" s="72">
        <f t="shared" ref="AI70:BN70" si="39">IF(AI62&gt;PosPLb1,PLb1l*(AI62-PosPLb1)^3/6,0)</f>
        <v>0</v>
      </c>
      <c r="AJ70" s="72">
        <f t="shared" si="39"/>
        <v>0</v>
      </c>
      <c r="AK70" s="72">
        <f t="shared" si="39"/>
        <v>0</v>
      </c>
      <c r="AL70" s="72">
        <f t="shared" si="39"/>
        <v>0</v>
      </c>
      <c r="AM70" s="72">
        <f t="shared" si="39"/>
        <v>0</v>
      </c>
      <c r="AN70" s="72">
        <f t="shared" si="39"/>
        <v>0</v>
      </c>
      <c r="AO70" s="72">
        <f t="shared" si="39"/>
        <v>0</v>
      </c>
      <c r="AP70" s="72">
        <f t="shared" si="39"/>
        <v>0</v>
      </c>
      <c r="AQ70" s="72">
        <f t="shared" si="39"/>
        <v>0</v>
      </c>
      <c r="AR70" s="72">
        <f t="shared" si="39"/>
        <v>0</v>
      </c>
      <c r="AS70" s="72">
        <f t="shared" si="39"/>
        <v>0</v>
      </c>
      <c r="AT70" s="72">
        <f t="shared" si="39"/>
        <v>0</v>
      </c>
      <c r="AU70" s="72">
        <f t="shared" si="39"/>
        <v>0</v>
      </c>
      <c r="AV70" s="72">
        <f t="shared" si="39"/>
        <v>0</v>
      </c>
      <c r="AW70" s="72">
        <f t="shared" si="39"/>
        <v>0</v>
      </c>
      <c r="AX70" s="72">
        <f t="shared" si="39"/>
        <v>0</v>
      </c>
      <c r="AY70" s="72">
        <f t="shared" si="39"/>
        <v>0</v>
      </c>
      <c r="AZ70" s="72">
        <f t="shared" si="39"/>
        <v>0</v>
      </c>
      <c r="BA70" s="72">
        <f t="shared" si="39"/>
        <v>0</v>
      </c>
      <c r="BB70" s="72">
        <f t="shared" si="39"/>
        <v>0</v>
      </c>
      <c r="BC70" s="72">
        <f t="shared" si="39"/>
        <v>0</v>
      </c>
      <c r="BD70" s="72">
        <f t="shared" si="39"/>
        <v>0</v>
      </c>
      <c r="BE70" s="72">
        <f t="shared" si="39"/>
        <v>0</v>
      </c>
      <c r="BF70" s="72">
        <f t="shared" si="39"/>
        <v>0</v>
      </c>
      <c r="BG70" s="72">
        <f t="shared" si="39"/>
        <v>0</v>
      </c>
      <c r="BH70" s="72">
        <f t="shared" si="39"/>
        <v>0</v>
      </c>
      <c r="BI70" s="72">
        <f t="shared" si="39"/>
        <v>0</v>
      </c>
      <c r="BJ70" s="72">
        <f t="shared" si="39"/>
        <v>0</v>
      </c>
      <c r="BK70" s="72">
        <f t="shared" si="39"/>
        <v>0</v>
      </c>
      <c r="BL70" s="72">
        <f t="shared" si="39"/>
        <v>0</v>
      </c>
      <c r="BM70" s="72">
        <f t="shared" si="39"/>
        <v>0</v>
      </c>
      <c r="BN70" s="72">
        <f t="shared" si="39"/>
        <v>0</v>
      </c>
      <c r="BO70" s="72">
        <f t="shared" ref="BO70:CY70" si="40">IF(BO62&gt;PosPLb1,PLb1l*(BO62-PosPLb1)^3/6,0)</f>
        <v>0</v>
      </c>
      <c r="BP70" s="72">
        <f t="shared" si="40"/>
        <v>0</v>
      </c>
      <c r="BQ70" s="72">
        <f t="shared" si="40"/>
        <v>0</v>
      </c>
      <c r="BR70" s="72">
        <f t="shared" si="40"/>
        <v>0</v>
      </c>
      <c r="BS70" s="72">
        <f t="shared" si="40"/>
        <v>0</v>
      </c>
      <c r="BT70" s="72">
        <f t="shared" si="40"/>
        <v>0</v>
      </c>
      <c r="BU70" s="72">
        <f t="shared" si="40"/>
        <v>0</v>
      </c>
      <c r="BV70" s="72">
        <f t="shared" si="40"/>
        <v>0</v>
      </c>
      <c r="BW70" s="72">
        <f t="shared" si="40"/>
        <v>0</v>
      </c>
      <c r="BX70" s="72">
        <f t="shared" si="40"/>
        <v>0</v>
      </c>
      <c r="BY70" s="72">
        <f t="shared" si="40"/>
        <v>0</v>
      </c>
      <c r="BZ70" s="72">
        <f t="shared" si="40"/>
        <v>0</v>
      </c>
      <c r="CA70" s="72">
        <f t="shared" si="40"/>
        <v>0</v>
      </c>
      <c r="CB70" s="72">
        <f t="shared" si="40"/>
        <v>0</v>
      </c>
      <c r="CC70" s="72">
        <f t="shared" si="40"/>
        <v>0</v>
      </c>
      <c r="CD70" s="72">
        <f t="shared" si="40"/>
        <v>0</v>
      </c>
      <c r="CE70" s="72">
        <f t="shared" si="40"/>
        <v>0</v>
      </c>
      <c r="CF70" s="72">
        <f t="shared" si="40"/>
        <v>0</v>
      </c>
      <c r="CG70" s="72">
        <f t="shared" si="40"/>
        <v>0</v>
      </c>
      <c r="CH70" s="72">
        <f t="shared" si="40"/>
        <v>0</v>
      </c>
      <c r="CI70" s="72">
        <f t="shared" si="40"/>
        <v>0</v>
      </c>
      <c r="CJ70" s="72">
        <f t="shared" si="40"/>
        <v>0</v>
      </c>
      <c r="CK70" s="72">
        <f t="shared" si="40"/>
        <v>0</v>
      </c>
      <c r="CL70" s="72">
        <f t="shared" si="40"/>
        <v>0</v>
      </c>
      <c r="CM70" s="72">
        <f t="shared" si="40"/>
        <v>0</v>
      </c>
      <c r="CN70" s="72">
        <f t="shared" si="40"/>
        <v>0</v>
      </c>
      <c r="CO70" s="72">
        <f t="shared" si="40"/>
        <v>0</v>
      </c>
      <c r="CP70" s="72">
        <f t="shared" si="40"/>
        <v>0</v>
      </c>
      <c r="CQ70" s="72">
        <f t="shared" si="40"/>
        <v>0</v>
      </c>
      <c r="CR70" s="72">
        <f t="shared" si="40"/>
        <v>0</v>
      </c>
      <c r="CS70" s="72">
        <f t="shared" si="40"/>
        <v>0</v>
      </c>
      <c r="CT70" s="72">
        <f t="shared" si="40"/>
        <v>0</v>
      </c>
      <c r="CU70" s="72">
        <f t="shared" si="40"/>
        <v>0</v>
      </c>
      <c r="CV70" s="72">
        <f t="shared" si="40"/>
        <v>0</v>
      </c>
      <c r="CW70" s="72">
        <f t="shared" si="40"/>
        <v>0</v>
      </c>
      <c r="CX70" s="72">
        <f t="shared" si="40"/>
        <v>0</v>
      </c>
      <c r="CY70" s="72">
        <f t="shared" si="40"/>
        <v>0</v>
      </c>
      <c r="CZ70" s="2"/>
      <c r="DA70" s="2"/>
    </row>
    <row r="71" spans="2:105">
      <c r="B71" s="3" t="s">
        <v>50</v>
      </c>
      <c r="C71" s="71">
        <f>$D$73*C62+$D$74</f>
        <v>0</v>
      </c>
      <c r="D71" s="72">
        <f t="shared" ref="D71:BO71" si="41">$D$73*D62+$D$74</f>
        <v>4.9295833333333414</v>
      </c>
      <c r="E71" s="72">
        <f t="shared" si="41"/>
        <v>9.8591666666666828</v>
      </c>
      <c r="F71" s="72">
        <f t="shared" si="41"/>
        <v>14.788750000000023</v>
      </c>
      <c r="G71" s="72">
        <f t="shared" si="41"/>
        <v>19.718333333333366</v>
      </c>
      <c r="H71" s="72">
        <f t="shared" si="41"/>
        <v>24.647916666666706</v>
      </c>
      <c r="I71" s="72">
        <f t="shared" si="41"/>
        <v>29.57750000000005</v>
      </c>
      <c r="J71" s="72">
        <f t="shared" si="41"/>
        <v>34.507083333333391</v>
      </c>
      <c r="K71" s="72">
        <f t="shared" si="41"/>
        <v>39.436666666666731</v>
      </c>
      <c r="L71" s="72">
        <f t="shared" si="41"/>
        <v>44.366250000000065</v>
      </c>
      <c r="M71" s="72">
        <f t="shared" si="41"/>
        <v>49.295833333333405</v>
      </c>
      <c r="N71" s="72">
        <f t="shared" si="41"/>
        <v>54.225416666666746</v>
      </c>
      <c r="O71" s="72">
        <f t="shared" si="41"/>
        <v>59.155000000000086</v>
      </c>
      <c r="P71" s="72">
        <f t="shared" si="41"/>
        <v>64.084583333333427</v>
      </c>
      <c r="Q71" s="72">
        <f t="shared" si="41"/>
        <v>69.014166666666767</v>
      </c>
      <c r="R71" s="72">
        <f t="shared" si="41"/>
        <v>73.943750000000108</v>
      </c>
      <c r="S71" s="72">
        <f t="shared" si="41"/>
        <v>78.873333333333463</v>
      </c>
      <c r="T71" s="72">
        <f t="shared" si="41"/>
        <v>83.802916666666803</v>
      </c>
      <c r="U71" s="72">
        <f t="shared" si="41"/>
        <v>88.732500000000144</v>
      </c>
      <c r="V71" s="72">
        <f t="shared" si="41"/>
        <v>93.662083333333499</v>
      </c>
      <c r="W71" s="72">
        <f t="shared" si="41"/>
        <v>98.591666666666839</v>
      </c>
      <c r="X71" s="72">
        <f t="shared" si="41"/>
        <v>103.52125000000018</v>
      </c>
      <c r="Y71" s="72">
        <f t="shared" si="41"/>
        <v>108.45083333333353</v>
      </c>
      <c r="Z71" s="72">
        <f t="shared" si="41"/>
        <v>113.38041666666687</v>
      </c>
      <c r="AA71" s="72">
        <f t="shared" si="41"/>
        <v>118.31000000000023</v>
      </c>
      <c r="AB71" s="72">
        <f t="shared" si="41"/>
        <v>123.23958333333356</v>
      </c>
      <c r="AC71" s="72">
        <f t="shared" si="41"/>
        <v>128.16916666666691</v>
      </c>
      <c r="AD71" s="72">
        <f t="shared" si="41"/>
        <v>133.09875000000025</v>
      </c>
      <c r="AE71" s="72">
        <f t="shared" si="41"/>
        <v>138.02833333333359</v>
      </c>
      <c r="AF71" s="72">
        <f t="shared" si="41"/>
        <v>142.95791666666693</v>
      </c>
      <c r="AG71" s="72">
        <f t="shared" si="41"/>
        <v>147.88750000000027</v>
      </c>
      <c r="AH71" s="72">
        <f t="shared" si="41"/>
        <v>152.81708333333364</v>
      </c>
      <c r="AI71" s="72">
        <f t="shared" si="41"/>
        <v>157.74666666666698</v>
      </c>
      <c r="AJ71" s="72">
        <f t="shared" si="41"/>
        <v>162.67625000000032</v>
      </c>
      <c r="AK71" s="72">
        <f t="shared" si="41"/>
        <v>167.60583333333366</v>
      </c>
      <c r="AL71" s="72">
        <f t="shared" si="41"/>
        <v>172.535416666667</v>
      </c>
      <c r="AM71" s="72">
        <f t="shared" si="41"/>
        <v>177.46500000000034</v>
      </c>
      <c r="AN71" s="72">
        <f t="shared" si="41"/>
        <v>182.39458333333371</v>
      </c>
      <c r="AO71" s="72">
        <f t="shared" si="41"/>
        <v>187.32416666666705</v>
      </c>
      <c r="AP71" s="72">
        <f t="shared" si="41"/>
        <v>192.25375000000039</v>
      </c>
      <c r="AQ71" s="72">
        <f t="shared" si="41"/>
        <v>197.18333333333374</v>
      </c>
      <c r="AR71" s="72">
        <f t="shared" si="41"/>
        <v>202.11291666666708</v>
      </c>
      <c r="AS71" s="72">
        <f t="shared" si="41"/>
        <v>207.04250000000042</v>
      </c>
      <c r="AT71" s="72">
        <f t="shared" si="41"/>
        <v>211.97208333333379</v>
      </c>
      <c r="AU71" s="72">
        <f t="shared" si="41"/>
        <v>216.90166666666713</v>
      </c>
      <c r="AV71" s="72">
        <f t="shared" si="41"/>
        <v>221.83125000000047</v>
      </c>
      <c r="AW71" s="72">
        <f t="shared" si="41"/>
        <v>226.76083333333381</v>
      </c>
      <c r="AX71" s="72">
        <f t="shared" si="41"/>
        <v>231.69041666666715</v>
      </c>
      <c r="AY71" s="72">
        <f t="shared" si="41"/>
        <v>236.62000000000049</v>
      </c>
      <c r="AZ71" s="72">
        <f t="shared" si="41"/>
        <v>241.54958333333386</v>
      </c>
      <c r="BA71" s="72">
        <f t="shared" si="41"/>
        <v>246.47916666666717</v>
      </c>
      <c r="BB71" s="72">
        <f t="shared" si="41"/>
        <v>251.40875000000051</v>
      </c>
      <c r="BC71" s="72">
        <f t="shared" si="41"/>
        <v>256.33833333333388</v>
      </c>
      <c r="BD71" s="72">
        <f t="shared" si="41"/>
        <v>261.26791666666719</v>
      </c>
      <c r="BE71" s="72">
        <f t="shared" si="41"/>
        <v>266.19750000000056</v>
      </c>
      <c r="BF71" s="72">
        <f t="shared" si="41"/>
        <v>271.12708333333387</v>
      </c>
      <c r="BG71" s="72">
        <f t="shared" si="41"/>
        <v>276.05666666666724</v>
      </c>
      <c r="BH71" s="72">
        <f t="shared" si="41"/>
        <v>280.98625000000061</v>
      </c>
      <c r="BI71" s="72">
        <f t="shared" si="41"/>
        <v>285.91583333333392</v>
      </c>
      <c r="BJ71" s="72">
        <f t="shared" si="41"/>
        <v>290.84541666666729</v>
      </c>
      <c r="BK71" s="72">
        <f t="shared" si="41"/>
        <v>295.7750000000006</v>
      </c>
      <c r="BL71" s="72">
        <f t="shared" si="41"/>
        <v>300.70458333333397</v>
      </c>
      <c r="BM71" s="72">
        <f t="shared" si="41"/>
        <v>305.63416666666728</v>
      </c>
      <c r="BN71" s="72">
        <f t="shared" si="41"/>
        <v>310.56375000000065</v>
      </c>
      <c r="BO71" s="72">
        <f t="shared" si="41"/>
        <v>315.49333333333402</v>
      </c>
      <c r="BP71" s="72">
        <f t="shared" ref="BP71:CY71" si="42">$D$73*BP62+$D$74</f>
        <v>320.42291666666733</v>
      </c>
      <c r="BQ71" s="72">
        <f t="shared" si="42"/>
        <v>325.3525000000007</v>
      </c>
      <c r="BR71" s="72">
        <f t="shared" si="42"/>
        <v>330.28208333333401</v>
      </c>
      <c r="BS71" s="72">
        <f t="shared" si="42"/>
        <v>335.21166666666738</v>
      </c>
      <c r="BT71" s="72">
        <f t="shared" si="42"/>
        <v>340.14125000000075</v>
      </c>
      <c r="BU71" s="72">
        <f t="shared" si="42"/>
        <v>345.07083333333406</v>
      </c>
      <c r="BV71" s="72">
        <f t="shared" si="42"/>
        <v>350.00041666666743</v>
      </c>
      <c r="BW71" s="72">
        <f t="shared" si="42"/>
        <v>354.93000000000075</v>
      </c>
      <c r="BX71" s="72">
        <f t="shared" si="42"/>
        <v>359.85958333333411</v>
      </c>
      <c r="BY71" s="72">
        <f t="shared" si="42"/>
        <v>364.78916666666748</v>
      </c>
      <c r="BZ71" s="72">
        <f t="shared" si="42"/>
        <v>369.7187500000008</v>
      </c>
      <c r="CA71" s="72">
        <f t="shared" si="42"/>
        <v>374.64833333333416</v>
      </c>
      <c r="CB71" s="72">
        <f t="shared" si="42"/>
        <v>379.57791666666748</v>
      </c>
      <c r="CC71" s="72">
        <f t="shared" si="42"/>
        <v>384.50750000000085</v>
      </c>
      <c r="CD71" s="72">
        <f t="shared" si="42"/>
        <v>389.43708333333416</v>
      </c>
      <c r="CE71" s="72">
        <f t="shared" si="42"/>
        <v>394.36666666666753</v>
      </c>
      <c r="CF71" s="72">
        <f t="shared" si="42"/>
        <v>399.2962500000009</v>
      </c>
      <c r="CG71" s="72">
        <f t="shared" si="42"/>
        <v>404.22583333333421</v>
      </c>
      <c r="CH71" s="72">
        <f t="shared" si="42"/>
        <v>409.15541666666758</v>
      </c>
      <c r="CI71" s="72">
        <f t="shared" si="42"/>
        <v>414.08500000000089</v>
      </c>
      <c r="CJ71" s="72">
        <f t="shared" si="42"/>
        <v>419.01458333333426</v>
      </c>
      <c r="CK71" s="72">
        <f t="shared" si="42"/>
        <v>423.94416666666763</v>
      </c>
      <c r="CL71" s="72">
        <f t="shared" si="42"/>
        <v>428.87375000000094</v>
      </c>
      <c r="CM71" s="72">
        <f t="shared" si="42"/>
        <v>433.80333333333431</v>
      </c>
      <c r="CN71" s="72">
        <f t="shared" si="42"/>
        <v>438.73291666666762</v>
      </c>
      <c r="CO71" s="72">
        <f t="shared" si="42"/>
        <v>443.66250000000099</v>
      </c>
      <c r="CP71" s="72">
        <f t="shared" si="42"/>
        <v>448.5920833333343</v>
      </c>
      <c r="CQ71" s="72">
        <f t="shared" si="42"/>
        <v>453.52166666666767</v>
      </c>
      <c r="CR71" s="72">
        <f t="shared" si="42"/>
        <v>458.45125000000104</v>
      </c>
      <c r="CS71" s="72">
        <f t="shared" si="42"/>
        <v>463.38083333333435</v>
      </c>
      <c r="CT71" s="72">
        <f t="shared" si="42"/>
        <v>468.31041666666772</v>
      </c>
      <c r="CU71" s="72">
        <f t="shared" si="42"/>
        <v>473.24000000000103</v>
      </c>
      <c r="CV71" s="72">
        <f t="shared" si="42"/>
        <v>478.1695833333344</v>
      </c>
      <c r="CW71" s="72">
        <f t="shared" si="42"/>
        <v>483.09916666666777</v>
      </c>
      <c r="CX71" s="72">
        <f t="shared" si="42"/>
        <v>488.02875000000108</v>
      </c>
      <c r="CY71" s="72">
        <f t="shared" si="42"/>
        <v>492.95833333333445</v>
      </c>
      <c r="CZ71" s="2"/>
      <c r="DA71" s="72">
        <f>SUM(CY63:CY70)</f>
        <v>-492.95833333333411</v>
      </c>
    </row>
    <row r="72" spans="2:105">
      <c r="B72" s="3"/>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2"/>
      <c r="DA72" s="72"/>
    </row>
    <row r="73" spans="2:105">
      <c r="B73" s="77"/>
      <c r="C73" s="73" t="s">
        <v>52</v>
      </c>
      <c r="D73" s="74">
        <f>-DA71/8</f>
        <v>61.619791666666764</v>
      </c>
      <c r="E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2"/>
      <c r="DA73" s="72"/>
    </row>
    <row r="74" spans="2:105">
      <c r="B74" s="78"/>
      <c r="C74" s="75" t="s">
        <v>53</v>
      </c>
      <c r="D74" s="76">
        <v>0</v>
      </c>
      <c r="E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2"/>
      <c r="DA74" s="72"/>
    </row>
    <row r="75" spans="2:105">
      <c r="B75" s="46"/>
      <c r="C75" s="25"/>
      <c r="D75" s="72"/>
      <c r="E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2"/>
      <c r="DA75" s="72"/>
    </row>
    <row r="76" spans="2:105">
      <c r="B76" s="3"/>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2"/>
      <c r="DA76" s="72"/>
    </row>
    <row r="77" spans="2:105">
      <c r="B77" s="3"/>
      <c r="C77" s="69" t="s">
        <v>51</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2"/>
      <c r="DA77" s="72"/>
    </row>
    <row r="78" spans="2:105">
      <c r="B78" s="3"/>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2"/>
      <c r="DA78" s="72"/>
    </row>
    <row r="79" spans="2:105">
      <c r="B79" s="56" t="s">
        <v>36</v>
      </c>
      <c r="C79" s="63">
        <v>0</v>
      </c>
      <c r="D79" s="64">
        <f>8/100</f>
        <v>0.08</v>
      </c>
      <c r="E79" s="64">
        <f>D79+8/100</f>
        <v>0.16</v>
      </c>
      <c r="F79" s="64">
        <f>E79+8/100</f>
        <v>0.24</v>
      </c>
      <c r="G79" s="64">
        <f>F79+8/100</f>
        <v>0.32</v>
      </c>
      <c r="H79" s="64">
        <f>G79+8/100</f>
        <v>0.4</v>
      </c>
      <c r="I79" s="64">
        <f>H79+8/100</f>
        <v>0.48000000000000004</v>
      </c>
      <c r="J79" s="64">
        <f>I79+8/100</f>
        <v>0.56000000000000005</v>
      </c>
      <c r="K79" s="64">
        <f>J79+8/100</f>
        <v>0.64</v>
      </c>
      <c r="L79" s="64">
        <f>K79+8/100</f>
        <v>0.72</v>
      </c>
      <c r="M79" s="64">
        <f>L79+8/100</f>
        <v>0.79999999999999993</v>
      </c>
      <c r="N79" s="64">
        <f>M79+8/100</f>
        <v>0.87999999999999989</v>
      </c>
      <c r="O79" s="64">
        <f>N79+8/100</f>
        <v>0.95999999999999985</v>
      </c>
      <c r="P79" s="64">
        <f>O79+8/100</f>
        <v>1.0399999999999998</v>
      </c>
      <c r="Q79" s="64">
        <f>P79+8/100</f>
        <v>1.1199999999999999</v>
      </c>
      <c r="R79" s="64">
        <f>Q79+8/100</f>
        <v>1.2</v>
      </c>
      <c r="S79" s="64">
        <f>R79+8/100</f>
        <v>1.28</v>
      </c>
      <c r="T79" s="64">
        <f>S79+8/100</f>
        <v>1.36</v>
      </c>
      <c r="U79" s="64">
        <f>T79+8/100</f>
        <v>1.4400000000000002</v>
      </c>
      <c r="V79" s="64">
        <f>U79+8/100</f>
        <v>1.5200000000000002</v>
      </c>
      <c r="W79" s="64">
        <f>V79+8/100</f>
        <v>1.6000000000000003</v>
      </c>
      <c r="X79" s="64">
        <f>W79+8/100</f>
        <v>1.6800000000000004</v>
      </c>
      <c r="Y79" s="64">
        <f>X79+8/100</f>
        <v>1.7600000000000005</v>
      </c>
      <c r="Z79" s="64">
        <f>Y79+8/100</f>
        <v>1.8400000000000005</v>
      </c>
      <c r="AA79" s="64">
        <f>Z79+8/100</f>
        <v>1.9200000000000006</v>
      </c>
      <c r="AB79" s="64">
        <f>AA79+8/100</f>
        <v>2.0000000000000004</v>
      </c>
      <c r="AC79" s="64">
        <f>AB79+8/100</f>
        <v>2.0800000000000005</v>
      </c>
      <c r="AD79" s="64">
        <f>AC79+8/100</f>
        <v>2.1600000000000006</v>
      </c>
      <c r="AE79" s="64">
        <f>AD79+8/100</f>
        <v>2.2400000000000007</v>
      </c>
      <c r="AF79" s="64">
        <f>AE79+8/100</f>
        <v>2.3200000000000007</v>
      </c>
      <c r="AG79" s="64">
        <f>AF79+8/100</f>
        <v>2.4000000000000008</v>
      </c>
      <c r="AH79" s="64">
        <f>AG79+8/100</f>
        <v>2.4800000000000009</v>
      </c>
      <c r="AI79" s="64">
        <f>AH79+8/100</f>
        <v>2.5600000000000009</v>
      </c>
      <c r="AJ79" s="64">
        <f>AI79+8/100</f>
        <v>2.640000000000001</v>
      </c>
      <c r="AK79" s="64">
        <f>AJ79+8/100</f>
        <v>2.7200000000000011</v>
      </c>
      <c r="AL79" s="64">
        <f>AK79+8/100</f>
        <v>2.8000000000000012</v>
      </c>
      <c r="AM79" s="64">
        <f>AL79+8/100</f>
        <v>2.8800000000000012</v>
      </c>
      <c r="AN79" s="64">
        <f>AM79+8/100</f>
        <v>2.9600000000000013</v>
      </c>
      <c r="AO79" s="64">
        <f>AN79+8/100</f>
        <v>3.0400000000000014</v>
      </c>
      <c r="AP79" s="64">
        <f>AO79+8/100</f>
        <v>3.1200000000000014</v>
      </c>
      <c r="AQ79" s="64">
        <f>AP79+8/100</f>
        <v>3.2000000000000015</v>
      </c>
      <c r="AR79" s="64">
        <f>AQ79+8/100</f>
        <v>3.2800000000000016</v>
      </c>
      <c r="AS79" s="64">
        <f>AR79+8/100</f>
        <v>3.3600000000000017</v>
      </c>
      <c r="AT79" s="64">
        <f>AS79+8/100</f>
        <v>3.4400000000000017</v>
      </c>
      <c r="AU79" s="64">
        <f>AT79+8/100</f>
        <v>3.5200000000000018</v>
      </c>
      <c r="AV79" s="64">
        <f>AU79+8/100</f>
        <v>3.6000000000000019</v>
      </c>
      <c r="AW79" s="64">
        <f>AV79+8/100</f>
        <v>3.6800000000000019</v>
      </c>
      <c r="AX79" s="64">
        <f>AW79+8/100</f>
        <v>3.760000000000002</v>
      </c>
      <c r="AY79" s="64">
        <f>AX79+8/100</f>
        <v>3.8400000000000021</v>
      </c>
      <c r="AZ79" s="64">
        <f>AY79+8/100</f>
        <v>3.9200000000000021</v>
      </c>
      <c r="BA79" s="64">
        <f>AZ79+8/100</f>
        <v>4.0000000000000018</v>
      </c>
      <c r="BB79" s="64">
        <f>BA79+8/100</f>
        <v>4.0800000000000018</v>
      </c>
      <c r="BC79" s="64">
        <f>BB79+8/100</f>
        <v>4.1600000000000019</v>
      </c>
      <c r="BD79" s="64">
        <f>BC79+8/100</f>
        <v>4.240000000000002</v>
      </c>
      <c r="BE79" s="64">
        <f>BD79+8/100</f>
        <v>4.3200000000000021</v>
      </c>
      <c r="BF79" s="64">
        <f>BE79+8/100</f>
        <v>4.4000000000000021</v>
      </c>
      <c r="BG79" s="64">
        <f>BF79+8/100</f>
        <v>4.4800000000000022</v>
      </c>
      <c r="BH79" s="64">
        <f>BG79+8/100</f>
        <v>4.5600000000000023</v>
      </c>
      <c r="BI79" s="64">
        <f>BH79+8/100</f>
        <v>4.6400000000000023</v>
      </c>
      <c r="BJ79" s="64">
        <f>BI79+8/100</f>
        <v>4.7200000000000024</v>
      </c>
      <c r="BK79" s="64">
        <f>BJ79+8/100</f>
        <v>4.8000000000000025</v>
      </c>
      <c r="BL79" s="64">
        <f>BK79+8/100</f>
        <v>4.8800000000000026</v>
      </c>
      <c r="BM79" s="64">
        <f>BL79+8/100</f>
        <v>4.9600000000000026</v>
      </c>
      <c r="BN79" s="64">
        <f>BM79+8/100</f>
        <v>5.0400000000000027</v>
      </c>
      <c r="BO79" s="64">
        <f>BN79+8/100</f>
        <v>5.1200000000000028</v>
      </c>
      <c r="BP79" s="64">
        <f>BO79+8/100</f>
        <v>5.2000000000000028</v>
      </c>
      <c r="BQ79" s="64">
        <f>BP79+8/100</f>
        <v>5.2800000000000029</v>
      </c>
      <c r="BR79" s="64">
        <f>BQ79+8/100</f>
        <v>5.360000000000003</v>
      </c>
      <c r="BS79" s="64">
        <f>BR79+8/100</f>
        <v>5.4400000000000031</v>
      </c>
      <c r="BT79" s="64">
        <f>BS79+8/100</f>
        <v>5.5200000000000031</v>
      </c>
      <c r="BU79" s="64">
        <f>BT79+8/100</f>
        <v>5.6000000000000032</v>
      </c>
      <c r="BV79" s="64">
        <f>BU79+8/100</f>
        <v>5.6800000000000033</v>
      </c>
      <c r="BW79" s="64">
        <f>BV79+8/100</f>
        <v>5.7600000000000033</v>
      </c>
      <c r="BX79" s="64">
        <f>BW79+8/100</f>
        <v>5.8400000000000034</v>
      </c>
      <c r="BY79" s="64">
        <f>BX79+8/100</f>
        <v>5.9200000000000035</v>
      </c>
      <c r="BZ79" s="64">
        <f>BY79+8/100</f>
        <v>6.0000000000000036</v>
      </c>
      <c r="CA79" s="64">
        <f>BZ79+8/100</f>
        <v>6.0800000000000036</v>
      </c>
      <c r="CB79" s="64">
        <f>CA79+8/100</f>
        <v>6.1600000000000037</v>
      </c>
      <c r="CC79" s="64">
        <f>CB79+8/100</f>
        <v>6.2400000000000038</v>
      </c>
      <c r="CD79" s="64">
        <f>CC79+8/100</f>
        <v>6.3200000000000038</v>
      </c>
      <c r="CE79" s="64">
        <f>CD79+8/100</f>
        <v>6.4000000000000039</v>
      </c>
      <c r="CF79" s="64">
        <f>CE79+8/100</f>
        <v>6.480000000000004</v>
      </c>
      <c r="CG79" s="64">
        <f>CF79+8/100</f>
        <v>6.5600000000000041</v>
      </c>
      <c r="CH79" s="64">
        <f>CG79+8/100</f>
        <v>6.6400000000000041</v>
      </c>
      <c r="CI79" s="64">
        <f>CH79+8/100</f>
        <v>6.7200000000000042</v>
      </c>
      <c r="CJ79" s="64">
        <f>CI79+8/100</f>
        <v>6.8000000000000043</v>
      </c>
      <c r="CK79" s="64">
        <f>CJ79+8/100</f>
        <v>6.8800000000000043</v>
      </c>
      <c r="CL79" s="64">
        <f>CK79+8/100</f>
        <v>6.9600000000000044</v>
      </c>
      <c r="CM79" s="64">
        <f>CL79+8/100</f>
        <v>7.0400000000000045</v>
      </c>
      <c r="CN79" s="64">
        <f>CM79+8/100</f>
        <v>7.1200000000000045</v>
      </c>
      <c r="CO79" s="64">
        <f>CN79+8/100</f>
        <v>7.2000000000000046</v>
      </c>
      <c r="CP79" s="64">
        <f>CO79+8/100</f>
        <v>7.2800000000000047</v>
      </c>
      <c r="CQ79" s="64">
        <f>CP79+8/100</f>
        <v>7.3600000000000048</v>
      </c>
      <c r="CR79" s="64">
        <f>CQ79+8/100</f>
        <v>7.4400000000000048</v>
      </c>
      <c r="CS79" s="64">
        <f>CR79+8/100</f>
        <v>7.5200000000000049</v>
      </c>
      <c r="CT79" s="64">
        <f>CS79+8/100</f>
        <v>7.600000000000005</v>
      </c>
      <c r="CU79" s="64">
        <f>CT79+8/100</f>
        <v>7.680000000000005</v>
      </c>
      <c r="CV79" s="64">
        <f>CU79+8/100</f>
        <v>7.7600000000000051</v>
      </c>
      <c r="CW79" s="64">
        <f>CV79+8/100</f>
        <v>7.8400000000000052</v>
      </c>
      <c r="CX79" s="64">
        <f>CW79+8/100</f>
        <v>7.9200000000000053</v>
      </c>
      <c r="CY79" s="64">
        <f>CX79+8/100</f>
        <v>8.0000000000000053</v>
      </c>
      <c r="CZ79" s="2"/>
      <c r="DA79" s="2"/>
    </row>
    <row r="80" spans="2:105">
      <c r="B80" s="3" t="s">
        <v>56</v>
      </c>
      <c r="C80" s="81">
        <f>C34+C35</f>
        <v>0</v>
      </c>
      <c r="D80" s="68">
        <f t="shared" ref="D80:BO80" si="43">D34+D35</f>
        <v>-2.4405679999999998</v>
      </c>
      <c r="E80" s="68">
        <f t="shared" si="43"/>
        <v>-4.845872</v>
      </c>
      <c r="F80" s="68">
        <f t="shared" si="43"/>
        <v>-7.2159119999999994</v>
      </c>
      <c r="G80" s="68">
        <f t="shared" si="43"/>
        <v>-9.5506879999999992</v>
      </c>
      <c r="H80" s="68">
        <f t="shared" si="43"/>
        <v>-11.850200000000001</v>
      </c>
      <c r="I80" s="68">
        <f t="shared" si="43"/>
        <v>-14.114448000000001</v>
      </c>
      <c r="J80" s="68">
        <f t="shared" si="43"/>
        <v>-16.343432</v>
      </c>
      <c r="K80" s="68">
        <f t="shared" si="43"/>
        <v>-18.537151999999999</v>
      </c>
      <c r="L80" s="68">
        <f t="shared" si="43"/>
        <v>-20.695608</v>
      </c>
      <c r="M80" s="68">
        <f t="shared" si="43"/>
        <v>-22.818799999999996</v>
      </c>
      <c r="N80" s="68">
        <f t="shared" si="43"/>
        <v>-24.906727999999994</v>
      </c>
      <c r="O80" s="68">
        <f t="shared" si="43"/>
        <v>-26.959391999999994</v>
      </c>
      <c r="P80" s="68">
        <f t="shared" si="43"/>
        <v>-28.974391999999991</v>
      </c>
      <c r="Q80" s="68">
        <f t="shared" si="43"/>
        <v>-30.937328000000001</v>
      </c>
      <c r="R80" s="68">
        <f t="shared" si="43"/>
        <v>-32.845799999999997</v>
      </c>
      <c r="S80" s="68">
        <f t="shared" si="43"/>
        <v>-34.699807999999997</v>
      </c>
      <c r="T80" s="68">
        <f t="shared" si="43"/>
        <v>-36.499352000000002</v>
      </c>
      <c r="U80" s="68">
        <f t="shared" si="43"/>
        <v>-38.244432000000003</v>
      </c>
      <c r="V80" s="68">
        <f t="shared" si="43"/>
        <v>-39.935048000000009</v>
      </c>
      <c r="W80" s="68">
        <f t="shared" si="43"/>
        <v>-41.571200000000005</v>
      </c>
      <c r="X80" s="68">
        <f t="shared" si="43"/>
        <v>-43.152888000000004</v>
      </c>
      <c r="Y80" s="68">
        <f t="shared" si="43"/>
        <v>-44.680112000000008</v>
      </c>
      <c r="Z80" s="68">
        <f t="shared" si="43"/>
        <v>-46.152872000000002</v>
      </c>
      <c r="AA80" s="68">
        <f t="shared" si="43"/>
        <v>-47.571168</v>
      </c>
      <c r="AB80" s="68">
        <f t="shared" si="43"/>
        <v>-48.935000000000002</v>
      </c>
      <c r="AC80" s="68">
        <f t="shared" si="43"/>
        <v>-50.244368000000009</v>
      </c>
      <c r="AD80" s="68">
        <f t="shared" si="43"/>
        <v>-51.499271999999998</v>
      </c>
      <c r="AE80" s="68">
        <f t="shared" si="43"/>
        <v>-52.699712000000005</v>
      </c>
      <c r="AF80" s="68">
        <f t="shared" si="43"/>
        <v>-53.84568800000001</v>
      </c>
      <c r="AG80" s="68">
        <f t="shared" si="43"/>
        <v>-54.937200000000004</v>
      </c>
      <c r="AH80" s="68">
        <f t="shared" si="43"/>
        <v>-55.974248000000003</v>
      </c>
      <c r="AI80" s="68">
        <f t="shared" si="43"/>
        <v>-56.956832000000006</v>
      </c>
      <c r="AJ80" s="68">
        <f t="shared" si="43"/>
        <v>-57.884952000000013</v>
      </c>
      <c r="AK80" s="68">
        <f t="shared" si="43"/>
        <v>-58.758608000000009</v>
      </c>
      <c r="AL80" s="68">
        <f t="shared" si="43"/>
        <v>-59.577800000000018</v>
      </c>
      <c r="AM80" s="68">
        <f t="shared" si="43"/>
        <v>-60.342528000000001</v>
      </c>
      <c r="AN80" s="68">
        <f t="shared" si="43"/>
        <v>-61.052792000000011</v>
      </c>
      <c r="AO80" s="68">
        <f t="shared" si="43"/>
        <v>-61.548591999999992</v>
      </c>
      <c r="AP80" s="68">
        <f t="shared" si="43"/>
        <v>-61.82992800000001</v>
      </c>
      <c r="AQ80" s="68">
        <f t="shared" si="43"/>
        <v>-62.05680000000001</v>
      </c>
      <c r="AR80" s="68">
        <f t="shared" si="43"/>
        <v>-62.229208000000007</v>
      </c>
      <c r="AS80" s="68">
        <f t="shared" si="43"/>
        <v>-62.347151999999994</v>
      </c>
      <c r="AT80" s="68">
        <f t="shared" si="43"/>
        <v>-62.410632</v>
      </c>
      <c r="AU80" s="68">
        <f t="shared" si="43"/>
        <v>-62.419647999999995</v>
      </c>
      <c r="AV80" s="68">
        <f t="shared" si="43"/>
        <v>-62.374199999999988</v>
      </c>
      <c r="AW80" s="68">
        <f t="shared" si="43"/>
        <v>-62.274287999999999</v>
      </c>
      <c r="AX80" s="68">
        <f t="shared" si="43"/>
        <v>-62.119912000000006</v>
      </c>
      <c r="AY80" s="68">
        <f t="shared" si="43"/>
        <v>-61.91107199999999</v>
      </c>
      <c r="AZ80" s="68">
        <f t="shared" si="43"/>
        <v>-61.647767999999999</v>
      </c>
      <c r="BA80" s="68">
        <f t="shared" si="43"/>
        <v>-61.329999999999984</v>
      </c>
      <c r="BB80" s="68">
        <f t="shared" si="43"/>
        <v>-60.967367999999993</v>
      </c>
      <c r="BC80" s="68">
        <f t="shared" si="43"/>
        <v>-60.569471999999976</v>
      </c>
      <c r="BD80" s="68">
        <f t="shared" si="43"/>
        <v>-60.136311999999997</v>
      </c>
      <c r="BE80" s="68">
        <f t="shared" si="43"/>
        <v>-59.667887999999998</v>
      </c>
      <c r="BF80" s="68">
        <f t="shared" si="43"/>
        <v>-59.164200000000001</v>
      </c>
      <c r="BG80" s="68">
        <f t="shared" si="43"/>
        <v>-58.625247999999985</v>
      </c>
      <c r="BH80" s="68">
        <f t="shared" si="43"/>
        <v>-58.051031999999978</v>
      </c>
      <c r="BI80" s="68">
        <f t="shared" si="43"/>
        <v>-57.441551999999973</v>
      </c>
      <c r="BJ80" s="68">
        <f t="shared" si="43"/>
        <v>-56.796807999999984</v>
      </c>
      <c r="BK80" s="68">
        <f t="shared" si="43"/>
        <v>-56.116799999999984</v>
      </c>
      <c r="BL80" s="68">
        <f t="shared" si="43"/>
        <v>-55.401527999999971</v>
      </c>
      <c r="BM80" s="68">
        <f t="shared" si="43"/>
        <v>-54.650991999999967</v>
      </c>
      <c r="BN80" s="68">
        <f t="shared" si="43"/>
        <v>-53.865191999999979</v>
      </c>
      <c r="BO80" s="68">
        <f t="shared" si="43"/>
        <v>-53.044127999999958</v>
      </c>
      <c r="BP80" s="68">
        <f t="shared" ref="BP80:CY80" si="44">BP34+BP35</f>
        <v>-52.187799999999967</v>
      </c>
      <c r="BQ80" s="68">
        <f t="shared" si="44"/>
        <v>-51.296207999999964</v>
      </c>
      <c r="BR80" s="68">
        <f t="shared" si="44"/>
        <v>-50.369351999999949</v>
      </c>
      <c r="BS80" s="68">
        <f t="shared" si="44"/>
        <v>-49.407231999999951</v>
      </c>
      <c r="BT80" s="68">
        <f t="shared" si="44"/>
        <v>-48.409847999999961</v>
      </c>
      <c r="BU80" s="68">
        <f t="shared" si="44"/>
        <v>-47.377199999999974</v>
      </c>
      <c r="BV80" s="68">
        <f t="shared" si="44"/>
        <v>-46.309287999999967</v>
      </c>
      <c r="BW80" s="68">
        <f t="shared" si="44"/>
        <v>-45.206111999999948</v>
      </c>
      <c r="BX80" s="68">
        <f t="shared" si="44"/>
        <v>-44.067671999999952</v>
      </c>
      <c r="BY80" s="68">
        <f t="shared" si="44"/>
        <v>-42.893967999999958</v>
      </c>
      <c r="BZ80" s="68">
        <f t="shared" si="44"/>
        <v>-41.684999999999945</v>
      </c>
      <c r="CA80" s="68">
        <f t="shared" si="44"/>
        <v>-40.440767999999956</v>
      </c>
      <c r="CB80" s="68">
        <f t="shared" si="44"/>
        <v>-39.161271999999926</v>
      </c>
      <c r="CC80" s="68">
        <f t="shared" si="44"/>
        <v>-37.846511999999933</v>
      </c>
      <c r="CD80" s="68">
        <f t="shared" si="44"/>
        <v>-36.496487999999928</v>
      </c>
      <c r="CE80" s="68">
        <f t="shared" si="44"/>
        <v>-35.11119999999994</v>
      </c>
      <c r="CF80" s="68">
        <f t="shared" si="44"/>
        <v>-33.690647999999939</v>
      </c>
      <c r="CG80" s="68">
        <f t="shared" si="44"/>
        <v>-32.23483199999994</v>
      </c>
      <c r="CH80" s="68">
        <f t="shared" si="44"/>
        <v>-30.743751999999919</v>
      </c>
      <c r="CI80" s="68">
        <f t="shared" si="44"/>
        <v>-29.217407999999928</v>
      </c>
      <c r="CJ80" s="68">
        <f t="shared" si="44"/>
        <v>-27.655799999999914</v>
      </c>
      <c r="CK80" s="68">
        <f t="shared" si="44"/>
        <v>-26.058927999999916</v>
      </c>
      <c r="CL80" s="68">
        <f t="shared" si="44"/>
        <v>-24.426791999999939</v>
      </c>
      <c r="CM80" s="68">
        <f t="shared" si="44"/>
        <v>-22.759391999999917</v>
      </c>
      <c r="CN80" s="68">
        <f t="shared" si="44"/>
        <v>-21.0567279999999</v>
      </c>
      <c r="CO80" s="68">
        <f t="shared" si="44"/>
        <v>-19.3187999999999</v>
      </c>
      <c r="CP80" s="68">
        <f t="shared" si="44"/>
        <v>-17.545607999999877</v>
      </c>
      <c r="CQ80" s="68">
        <f t="shared" si="44"/>
        <v>-15.73715199999989</v>
      </c>
      <c r="CR80" s="68">
        <f t="shared" si="44"/>
        <v>-13.893431999999869</v>
      </c>
      <c r="CS80" s="68">
        <f t="shared" si="44"/>
        <v>-12.01444799999987</v>
      </c>
      <c r="CT80" s="68">
        <f t="shared" si="44"/>
        <v>-10.100199999999877</v>
      </c>
      <c r="CU80" s="68">
        <f t="shared" si="44"/>
        <v>-8.1506879999998727</v>
      </c>
      <c r="CV80" s="68">
        <f t="shared" si="44"/>
        <v>-6.1659119999998513</v>
      </c>
      <c r="CW80" s="68">
        <f t="shared" si="44"/>
        <v>-4.145871999999871</v>
      </c>
      <c r="CX80" s="68">
        <f t="shared" si="44"/>
        <v>-2.0905679999998732</v>
      </c>
      <c r="CY80" s="68">
        <f t="shared" si="44"/>
        <v>1.3500311979441904E-13</v>
      </c>
      <c r="CZ80" s="2"/>
      <c r="DA80" s="72"/>
    </row>
    <row r="81" spans="1:105">
      <c r="B81" s="3" t="s">
        <v>281</v>
      </c>
      <c r="C81" s="66">
        <f>C34*steel!$K$17+calculations!C35*steel!$K$16</f>
        <v>0</v>
      </c>
      <c r="D81" s="68">
        <f>D34*steel!$K$17+calculations!D35*steel!$K$16</f>
        <v>-3.5965151999999998</v>
      </c>
      <c r="E81" s="68">
        <f>E34*steel!$K$17+calculations!E35*steel!$K$16</f>
        <v>-7.1411008000000002</v>
      </c>
      <c r="F81" s="68">
        <f>F34*steel!$K$17+calculations!F35*steel!$K$16</f>
        <v>-10.6337568</v>
      </c>
      <c r="G81" s="68">
        <f>G34*steel!$K$17+calculations!G35*steel!$K$16</f>
        <v>-14.0744832</v>
      </c>
      <c r="H81" s="68">
        <f>H34*steel!$K$17+calculations!H35*steel!$K$16</f>
        <v>-17.463280000000001</v>
      </c>
      <c r="I81" s="68">
        <f>I34*steel!$K$17+calculations!I35*steel!$K$16</f>
        <v>-20.800147200000001</v>
      </c>
      <c r="J81" s="68">
        <f>J34*steel!$K$17+calculations!J35*steel!$K$16</f>
        <v>-24.085084800000001</v>
      </c>
      <c r="K81" s="68">
        <f>K34*steel!$K$17+calculations!K35*steel!$K$16</f>
        <v>-27.318092799999999</v>
      </c>
      <c r="L81" s="68">
        <f>L34*steel!$K$17+calculations!L35*steel!$K$16</f>
        <v>-30.499171199999999</v>
      </c>
      <c r="M81" s="68">
        <f>M34*steel!$K$17+calculations!M35*steel!$K$16</f>
        <v>-33.628319999999995</v>
      </c>
      <c r="N81" s="68">
        <f>N34*steel!$K$17+calculations!N35*steel!$K$16</f>
        <v>-36.70553919999999</v>
      </c>
      <c r="O81" s="68">
        <f>O34*steel!$K$17+calculations!O35*steel!$K$16</f>
        <v>-39.730828799999991</v>
      </c>
      <c r="P81" s="68">
        <f>P34*steel!$K$17+calculations!P35*steel!$K$16</f>
        <v>-42.700668799999988</v>
      </c>
      <c r="Q81" s="68">
        <f>Q34*steel!$K$17+calculations!Q35*steel!$K$16</f>
        <v>-45.593939199999994</v>
      </c>
      <c r="R81" s="68">
        <f>R34*steel!$K$17+calculations!R35*steel!$K$16</f>
        <v>-48.407119999999992</v>
      </c>
      <c r="S81" s="68">
        <f>S34*steel!$K$17+calculations!S35*steel!$K$16</f>
        <v>-51.140211199999996</v>
      </c>
      <c r="T81" s="68">
        <f>T34*steel!$K$17+calculations!T35*steel!$K$16</f>
        <v>-53.793212799999992</v>
      </c>
      <c r="U81" s="68">
        <f>U34*steel!$K$17+calculations!U35*steel!$K$16</f>
        <v>-56.366124800000009</v>
      </c>
      <c r="V81" s="68">
        <f>V34*steel!$K$17+calculations!V35*steel!$K$16</f>
        <v>-58.858947200000003</v>
      </c>
      <c r="W81" s="68">
        <f>W34*steel!$K$17+calculations!W35*steel!$K$16</f>
        <v>-61.271680000000011</v>
      </c>
      <c r="X81" s="68">
        <f>X34*steel!$K$17+calculations!X35*steel!$K$16</f>
        <v>-63.604323200000003</v>
      </c>
      <c r="Y81" s="68">
        <f>Y34*steel!$K$17+calculations!Y35*steel!$K$16</f>
        <v>-65.856876800000009</v>
      </c>
      <c r="Z81" s="68">
        <f>Z34*steel!$K$17+calculations!Z35*steel!$K$16</f>
        <v>-68.0293408</v>
      </c>
      <c r="AA81" s="68">
        <f>AA34*steel!$K$17+calculations!AA35*steel!$K$16</f>
        <v>-70.121715200000011</v>
      </c>
      <c r="AB81" s="68">
        <f>AB34*steel!$K$17+calculations!AB35*steel!$K$16</f>
        <v>-72.134</v>
      </c>
      <c r="AC81" s="68">
        <f>AC34*steel!$K$17+calculations!AC35*steel!$K$16</f>
        <v>-74.06619520000001</v>
      </c>
      <c r="AD81" s="68">
        <f>AD34*steel!$K$17+calculations!AD35*steel!$K$16</f>
        <v>-75.918300799999997</v>
      </c>
      <c r="AE81" s="68">
        <f>AE34*steel!$K$17+calculations!AE35*steel!$K$16</f>
        <v>-77.690316800000005</v>
      </c>
      <c r="AF81" s="68">
        <f>AF34*steel!$K$17+calculations!AF35*steel!$K$16</f>
        <v>-79.382243200000005</v>
      </c>
      <c r="AG81" s="68">
        <f>AG34*steel!$K$17+calculations!AG35*steel!$K$16</f>
        <v>-80.994079999999997</v>
      </c>
      <c r="AH81" s="68">
        <f>AH34*steel!$K$17+calculations!AH35*steel!$K$16</f>
        <v>-82.525827200000009</v>
      </c>
      <c r="AI81" s="68">
        <f>AI34*steel!$K$17+calculations!AI35*steel!$K$16</f>
        <v>-83.977484800000013</v>
      </c>
      <c r="AJ81" s="68">
        <f>AJ34*steel!$K$17+calculations!AJ35*steel!$K$16</f>
        <v>-85.34905280000001</v>
      </c>
      <c r="AK81" s="68">
        <f>AK34*steel!$K$17+calculations!AK35*steel!$K$16</f>
        <v>-86.640531200000027</v>
      </c>
      <c r="AL81" s="68">
        <f>AL34*steel!$K$17+calculations!AL35*steel!$K$16</f>
        <v>-87.851920000000021</v>
      </c>
      <c r="AM81" s="68">
        <f>AM34*steel!$K$17+calculations!AM35*steel!$K$16</f>
        <v>-88.983219200000008</v>
      </c>
      <c r="AN81" s="68">
        <f>AN34*steel!$K$17+calculations!AN35*steel!$K$16</f>
        <v>-90.034428800000001</v>
      </c>
      <c r="AO81" s="68">
        <f>AO34*steel!$K$17+calculations!AO35*steel!$K$16</f>
        <v>-90.765548799999991</v>
      </c>
      <c r="AP81" s="68">
        <f>AP34*steel!$K$17+calculations!AP35*steel!$K$16</f>
        <v>-91.176579200000006</v>
      </c>
      <c r="AQ81" s="68">
        <f>AQ34*steel!$K$17+calculations!AQ35*steel!$K$16</f>
        <v>-91.507520000000028</v>
      </c>
      <c r="AR81" s="68">
        <f>AR34*steel!$K$17+calculations!AR35*steel!$K$16</f>
        <v>-91.758371199999999</v>
      </c>
      <c r="AS81" s="68">
        <f>AS34*steel!$K$17+calculations!AS35*steel!$K$16</f>
        <v>-91.929132799999991</v>
      </c>
      <c r="AT81" s="68">
        <f>AT34*steel!$K$17+calculations!AT35*steel!$K$16</f>
        <v>-92.019804800000003</v>
      </c>
      <c r="AU81" s="68">
        <f>AU34*steel!$K$17+calculations!AU35*steel!$K$16</f>
        <v>-92.030387200000007</v>
      </c>
      <c r="AV81" s="68">
        <f>AV34*steel!$K$17+calculations!AV35*steel!$K$16</f>
        <v>-91.960879999999975</v>
      </c>
      <c r="AW81" s="68">
        <f>AW34*steel!$K$17+calculations!AW35*steel!$K$16</f>
        <v>-91.811283199999991</v>
      </c>
      <c r="AX81" s="68">
        <f>AX34*steel!$K$17+calculations!AX35*steel!$K$16</f>
        <v>-91.5815968</v>
      </c>
      <c r="AY81" s="68">
        <f>AY34*steel!$K$17+calculations!AY35*steel!$K$16</f>
        <v>-91.271820799999986</v>
      </c>
      <c r="AZ81" s="68">
        <f>AZ34*steel!$K$17+calculations!AZ35*steel!$K$16</f>
        <v>-90.881955199999993</v>
      </c>
      <c r="BA81" s="68">
        <f>BA34*steel!$K$17+calculations!BA35*steel!$K$16</f>
        <v>-90.411999999999978</v>
      </c>
      <c r="BB81" s="68">
        <f>BB34*steel!$K$17+calculations!BB35*steel!$K$16</f>
        <v>-89.87603519999999</v>
      </c>
      <c r="BC81" s="68">
        <f>BC34*steel!$K$17+calculations!BC35*steel!$K$16</f>
        <v>-89.288140799999979</v>
      </c>
      <c r="BD81" s="68">
        <f>BD34*steel!$K$17+calculations!BD35*steel!$K$16</f>
        <v>-88.648316799999989</v>
      </c>
      <c r="BE81" s="68">
        <f>BE34*steel!$K$17+calculations!BE35*steel!$K$16</f>
        <v>-87.956563200000005</v>
      </c>
      <c r="BF81" s="68">
        <f>BF34*steel!$K$17+calculations!BF35*steel!$K$16</f>
        <v>-87.212879999999998</v>
      </c>
      <c r="BG81" s="68">
        <f>BG34*steel!$K$17+calculations!BG35*steel!$K$16</f>
        <v>-86.417267199999984</v>
      </c>
      <c r="BH81" s="68">
        <f>BH34*steel!$K$17+calculations!BH35*steel!$K$16</f>
        <v>-85.56972479999996</v>
      </c>
      <c r="BI81" s="68">
        <f>BI34*steel!$K$17+calculations!BI35*steel!$K$16</f>
        <v>-84.670252799999957</v>
      </c>
      <c r="BJ81" s="68">
        <f>BJ34*steel!$K$17+calculations!BJ35*steel!$K$16</f>
        <v>-83.71885119999996</v>
      </c>
      <c r="BK81" s="68">
        <f>BK34*steel!$K$17+calculations!BK35*steel!$K$16</f>
        <v>-82.71551999999997</v>
      </c>
      <c r="BL81" s="68">
        <f>BL34*steel!$K$17+calculations!BL35*steel!$K$16</f>
        <v>-81.660259199999956</v>
      </c>
      <c r="BM81" s="68">
        <f>BM34*steel!$K$17+calculations!BM35*steel!$K$16</f>
        <v>-80.553068799999949</v>
      </c>
      <c r="BN81" s="68">
        <f>BN34*steel!$K$17+calculations!BN35*steel!$K$16</f>
        <v>-79.393948799999961</v>
      </c>
      <c r="BO81" s="68">
        <f>BO34*steel!$K$17+calculations!BO35*steel!$K$16</f>
        <v>-78.182899199999937</v>
      </c>
      <c r="BP81" s="68">
        <f>BP34*steel!$K$17+calculations!BP35*steel!$K$16</f>
        <v>-76.919919999999948</v>
      </c>
      <c r="BQ81" s="68">
        <f>BQ34*steel!$K$17+calculations!BQ35*steel!$K$16</f>
        <v>-75.60501119999995</v>
      </c>
      <c r="BR81" s="68">
        <f>BR34*steel!$K$17+calculations!BR35*steel!$K$16</f>
        <v>-74.23817279999993</v>
      </c>
      <c r="BS81" s="68">
        <f>BS34*steel!$K$17+calculations!BS35*steel!$K$16</f>
        <v>-72.81940479999993</v>
      </c>
      <c r="BT81" s="68">
        <f>BT34*steel!$K$17+calculations!BT35*steel!$K$16</f>
        <v>-71.348707199999936</v>
      </c>
      <c r="BU81" s="68">
        <f>BU34*steel!$K$17+calculations!BU35*steel!$K$16</f>
        <v>-69.826079999999962</v>
      </c>
      <c r="BV81" s="68">
        <f>BV34*steel!$K$17+calculations!BV35*steel!$K$16</f>
        <v>-68.251523199999951</v>
      </c>
      <c r="BW81" s="68">
        <f>BW34*steel!$K$17+calculations!BW35*steel!$K$16</f>
        <v>-66.625036799999918</v>
      </c>
      <c r="BX81" s="68">
        <f>BX34*steel!$K$17+calculations!BX35*steel!$K$16</f>
        <v>-64.94662079999992</v>
      </c>
      <c r="BY81" s="68">
        <f>BY34*steel!$K$17+calculations!BY35*steel!$K$16</f>
        <v>-63.216275199999934</v>
      </c>
      <c r="BZ81" s="68">
        <f>BZ34*steel!$K$17+calculations!BZ35*steel!$K$16</f>
        <v>-61.433999999999926</v>
      </c>
      <c r="CA81" s="68">
        <f>CA34*steel!$K$17+calculations!CA35*steel!$K$16</f>
        <v>-59.599795199999932</v>
      </c>
      <c r="CB81" s="68">
        <f>CB34*steel!$K$17+calculations!CB35*steel!$K$16</f>
        <v>-57.713660799999893</v>
      </c>
      <c r="CC81" s="68">
        <f>CC34*steel!$K$17+calculations!CC35*steel!$K$16</f>
        <v>-55.775596799999896</v>
      </c>
      <c r="CD81" s="68">
        <f>CD34*steel!$K$17+calculations!CD35*steel!$K$16</f>
        <v>-53.785603199999898</v>
      </c>
      <c r="CE81" s="68">
        <f>CE34*steel!$K$17+calculations!CE35*steel!$K$16</f>
        <v>-51.743679999999905</v>
      </c>
      <c r="CF81" s="68">
        <f>CF34*steel!$K$17+calculations!CF35*steel!$K$16</f>
        <v>-49.649827199999912</v>
      </c>
      <c r="CG81" s="68">
        <f>CG34*steel!$K$17+calculations!CG35*steel!$K$16</f>
        <v>-47.504044799999917</v>
      </c>
      <c r="CH81" s="68">
        <f>CH34*steel!$K$17+calculations!CH35*steel!$K$16</f>
        <v>-45.306332799999879</v>
      </c>
      <c r="CI81" s="68">
        <f>CI34*steel!$K$17+calculations!CI35*steel!$K$16</f>
        <v>-43.056691199999896</v>
      </c>
      <c r="CJ81" s="68">
        <f>CJ34*steel!$K$17+calculations!CJ35*steel!$K$16</f>
        <v>-40.755119999999877</v>
      </c>
      <c r="CK81" s="68">
        <f>CK34*steel!$K$17+calculations!CK35*steel!$K$16</f>
        <v>-38.401619199999878</v>
      </c>
      <c r="CL81" s="68">
        <f>CL34*steel!$K$17+calculations!CL35*steel!$K$16</f>
        <v>-35.996188799999913</v>
      </c>
      <c r="CM81" s="68">
        <f>CM34*steel!$K$17+calculations!CM35*steel!$K$16</f>
        <v>-33.538828799999877</v>
      </c>
      <c r="CN81" s="68">
        <f>CN34*steel!$K$17+calculations!CN35*steel!$K$16</f>
        <v>-31.029539199999849</v>
      </c>
      <c r="CO81" s="68">
        <f>CO34*steel!$K$17+calculations!CO35*steel!$K$16</f>
        <v>-28.468319999999849</v>
      </c>
      <c r="CP81" s="68">
        <f>CP34*steel!$K$17+calculations!CP35*steel!$K$16</f>
        <v>-25.855171199999816</v>
      </c>
      <c r="CQ81" s="68">
        <f>CQ34*steel!$K$17+calculations!CQ35*steel!$K$16</f>
        <v>-23.190092799999839</v>
      </c>
      <c r="CR81" s="68">
        <f>CR34*steel!$K$17+calculations!CR35*steel!$K$16</f>
        <v>-20.473084799999807</v>
      </c>
      <c r="CS81" s="68">
        <f>CS34*steel!$K$17+calculations!CS35*steel!$K$16</f>
        <v>-17.704147199999809</v>
      </c>
      <c r="CT81" s="68">
        <f>CT34*steel!$K$17+calculations!CT35*steel!$K$16</f>
        <v>-14.883279999999818</v>
      </c>
      <c r="CU81" s="68">
        <f>CU34*steel!$K$17+calculations!CU35*steel!$K$16</f>
        <v>-12.010483199999811</v>
      </c>
      <c r="CV81" s="68">
        <f>CV34*steel!$K$17+calculations!CV35*steel!$K$16</f>
        <v>-9.0857567999997801</v>
      </c>
      <c r="CW81" s="68">
        <f>CW34*steel!$K$17+calculations!CW35*steel!$K$16</f>
        <v>-6.1091007999998084</v>
      </c>
      <c r="CX81" s="68">
        <f>CX34*steel!$K$17+calculations!CX35*steel!$K$16</f>
        <v>-3.0805151999998115</v>
      </c>
      <c r="CY81" s="68">
        <f>CY34*steel!$K$17+calculations!CY35*steel!$K$16</f>
        <v>1.9966250874858814E-13</v>
      </c>
      <c r="CZ81" s="2"/>
      <c r="DA81" s="72"/>
    </row>
    <row r="82" spans="1:105">
      <c r="B82" s="79" t="s">
        <v>57</v>
      </c>
      <c r="C82" s="80">
        <f>C36+C37</f>
        <v>30.727499999999999</v>
      </c>
      <c r="D82" s="82">
        <f t="shared" ref="D82:BO82" si="45">D36+D37</f>
        <v>30.2867</v>
      </c>
      <c r="E82" s="82">
        <f t="shared" si="45"/>
        <v>29.8459</v>
      </c>
      <c r="F82" s="82">
        <f t="shared" si="45"/>
        <v>29.405099999999997</v>
      </c>
      <c r="G82" s="82">
        <f t="shared" si="45"/>
        <v>28.964299999999998</v>
      </c>
      <c r="H82" s="82">
        <f t="shared" si="45"/>
        <v>28.523499999999999</v>
      </c>
      <c r="I82" s="82">
        <f t="shared" si="45"/>
        <v>28.082699999999999</v>
      </c>
      <c r="J82" s="82">
        <f t="shared" si="45"/>
        <v>27.6419</v>
      </c>
      <c r="K82" s="82">
        <f t="shared" si="45"/>
        <v>27.201099999999997</v>
      </c>
      <c r="L82" s="82">
        <f t="shared" si="45"/>
        <v>26.760300000000001</v>
      </c>
      <c r="M82" s="82">
        <f t="shared" si="45"/>
        <v>26.319499999999998</v>
      </c>
      <c r="N82" s="82">
        <f t="shared" si="45"/>
        <v>25.878700000000002</v>
      </c>
      <c r="O82" s="82">
        <f t="shared" si="45"/>
        <v>25.437899999999999</v>
      </c>
      <c r="P82" s="82">
        <f t="shared" si="45"/>
        <v>24.877099999999999</v>
      </c>
      <c r="Q82" s="82">
        <f t="shared" si="45"/>
        <v>24.196300000000001</v>
      </c>
      <c r="R82" s="82">
        <f t="shared" si="45"/>
        <v>23.515499999999999</v>
      </c>
      <c r="S82" s="82">
        <f t="shared" si="45"/>
        <v>22.834699999999998</v>
      </c>
      <c r="T82" s="82">
        <f t="shared" si="45"/>
        <v>22.1539</v>
      </c>
      <c r="U82" s="82">
        <f t="shared" si="45"/>
        <v>21.473099999999995</v>
      </c>
      <c r="V82" s="82">
        <f t="shared" si="45"/>
        <v>20.792299999999997</v>
      </c>
      <c r="W82" s="82">
        <f t="shared" si="45"/>
        <v>20.111499999999996</v>
      </c>
      <c r="X82" s="82">
        <f t="shared" si="45"/>
        <v>19.430699999999995</v>
      </c>
      <c r="Y82" s="82">
        <f t="shared" si="45"/>
        <v>18.749899999999993</v>
      </c>
      <c r="Z82" s="82">
        <f t="shared" si="45"/>
        <v>18.069099999999995</v>
      </c>
      <c r="AA82" s="82">
        <f t="shared" si="45"/>
        <v>17.388299999999994</v>
      </c>
      <c r="AB82" s="82">
        <f t="shared" si="45"/>
        <v>16.707499999999996</v>
      </c>
      <c r="AC82" s="82">
        <f t="shared" si="45"/>
        <v>16.026699999999995</v>
      </c>
      <c r="AD82" s="82">
        <f t="shared" si="45"/>
        <v>15.345899999999995</v>
      </c>
      <c r="AE82" s="82">
        <f t="shared" si="45"/>
        <v>14.665099999999995</v>
      </c>
      <c r="AF82" s="82">
        <f t="shared" si="45"/>
        <v>13.984299999999992</v>
      </c>
      <c r="AG82" s="82">
        <f t="shared" si="45"/>
        <v>13.303499999999993</v>
      </c>
      <c r="AH82" s="82">
        <f t="shared" si="45"/>
        <v>12.622699999999991</v>
      </c>
      <c r="AI82" s="82">
        <f t="shared" si="45"/>
        <v>11.94189999999999</v>
      </c>
      <c r="AJ82" s="82">
        <f t="shared" si="45"/>
        <v>11.261099999999992</v>
      </c>
      <c r="AK82" s="82">
        <f t="shared" si="45"/>
        <v>10.58029999999999</v>
      </c>
      <c r="AL82" s="82">
        <f t="shared" si="45"/>
        <v>9.8994999999999909</v>
      </c>
      <c r="AM82" s="82">
        <f t="shared" si="45"/>
        <v>9.2186999999999895</v>
      </c>
      <c r="AN82" s="82">
        <f t="shared" si="45"/>
        <v>8.5378999999999898</v>
      </c>
      <c r="AO82" s="82">
        <f t="shared" si="45"/>
        <v>3.857099999999988</v>
      </c>
      <c r="AP82" s="82">
        <f t="shared" si="45"/>
        <v>3.1762999999999884</v>
      </c>
      <c r="AQ82" s="82">
        <f t="shared" si="45"/>
        <v>2.495499999999987</v>
      </c>
      <c r="AR82" s="82">
        <f t="shared" si="45"/>
        <v>1.8146999999999855</v>
      </c>
      <c r="AS82" s="82">
        <f t="shared" si="45"/>
        <v>1.1338999999999859</v>
      </c>
      <c r="AT82" s="82">
        <f t="shared" si="45"/>
        <v>0.45309999999998452</v>
      </c>
      <c r="AU82" s="82">
        <f t="shared" si="45"/>
        <v>-0.22770000000001511</v>
      </c>
      <c r="AV82" s="82">
        <f t="shared" si="45"/>
        <v>-0.90850000000001652</v>
      </c>
      <c r="AW82" s="82">
        <f t="shared" si="45"/>
        <v>-1.5893000000000161</v>
      </c>
      <c r="AX82" s="82">
        <f t="shared" si="45"/>
        <v>-2.2701000000000175</v>
      </c>
      <c r="AY82" s="82">
        <f t="shared" si="45"/>
        <v>-2.9509000000000172</v>
      </c>
      <c r="AZ82" s="82">
        <f t="shared" si="45"/>
        <v>-3.6317000000000186</v>
      </c>
      <c r="BA82" s="82">
        <f t="shared" si="45"/>
        <v>-4.312500000000016</v>
      </c>
      <c r="BB82" s="82">
        <f t="shared" si="45"/>
        <v>-4.7533000000000101</v>
      </c>
      <c r="BC82" s="82">
        <f t="shared" si="45"/>
        <v>-5.1941000000000113</v>
      </c>
      <c r="BD82" s="82">
        <f t="shared" si="45"/>
        <v>-5.6349000000000107</v>
      </c>
      <c r="BE82" s="82">
        <f t="shared" si="45"/>
        <v>-6.0757000000000119</v>
      </c>
      <c r="BF82" s="82">
        <f t="shared" si="45"/>
        <v>-6.5165000000000113</v>
      </c>
      <c r="BG82" s="82">
        <f t="shared" si="45"/>
        <v>-6.9573000000000125</v>
      </c>
      <c r="BH82" s="82">
        <f t="shared" si="45"/>
        <v>-7.3981000000000137</v>
      </c>
      <c r="BI82" s="82">
        <f t="shared" si="45"/>
        <v>-7.8389000000000131</v>
      </c>
      <c r="BJ82" s="82">
        <f t="shared" si="45"/>
        <v>-8.2797000000000125</v>
      </c>
      <c r="BK82" s="82">
        <f t="shared" si="45"/>
        <v>-8.7205000000000119</v>
      </c>
      <c r="BL82" s="82">
        <f t="shared" si="45"/>
        <v>-9.1613000000000149</v>
      </c>
      <c r="BM82" s="82">
        <f t="shared" si="45"/>
        <v>-9.6021000000000143</v>
      </c>
      <c r="BN82" s="82">
        <f t="shared" si="45"/>
        <v>-10.042900000000014</v>
      </c>
      <c r="BO82" s="82">
        <f t="shared" si="45"/>
        <v>-10.483700000000017</v>
      </c>
      <c r="BP82" s="82">
        <f t="shared" ref="BP82:CY82" si="46">BP36+BP37</f>
        <v>-10.924500000000016</v>
      </c>
      <c r="BQ82" s="82">
        <f t="shared" si="46"/>
        <v>-11.365300000000016</v>
      </c>
      <c r="BR82" s="82">
        <f t="shared" si="46"/>
        <v>-11.806100000000015</v>
      </c>
      <c r="BS82" s="82">
        <f t="shared" si="46"/>
        <v>-12.246900000000018</v>
      </c>
      <c r="BT82" s="82">
        <f t="shared" si="46"/>
        <v>-12.687700000000017</v>
      </c>
      <c r="BU82" s="82">
        <f t="shared" si="46"/>
        <v>-13.128500000000017</v>
      </c>
      <c r="BV82" s="82">
        <f t="shared" si="46"/>
        <v>-13.569300000000016</v>
      </c>
      <c r="BW82" s="82">
        <f t="shared" si="46"/>
        <v>-14.010100000000019</v>
      </c>
      <c r="BX82" s="82">
        <f t="shared" si="46"/>
        <v>-14.450900000000019</v>
      </c>
      <c r="BY82" s="82">
        <f t="shared" si="46"/>
        <v>-14.891700000000018</v>
      </c>
      <c r="BZ82" s="82">
        <f t="shared" si="46"/>
        <v>-15.332500000000021</v>
      </c>
      <c r="CA82" s="82">
        <f t="shared" si="46"/>
        <v>-15.77330000000002</v>
      </c>
      <c r="CB82" s="82">
        <f t="shared" si="46"/>
        <v>-16.21410000000002</v>
      </c>
      <c r="CC82" s="82">
        <f t="shared" si="46"/>
        <v>-16.654900000000019</v>
      </c>
      <c r="CD82" s="82">
        <f t="shared" si="46"/>
        <v>-17.095700000000022</v>
      </c>
      <c r="CE82" s="82">
        <f t="shared" si="46"/>
        <v>-17.536500000000022</v>
      </c>
      <c r="CF82" s="82">
        <f t="shared" si="46"/>
        <v>-17.977300000000021</v>
      </c>
      <c r="CG82" s="82">
        <f t="shared" si="46"/>
        <v>-18.41810000000002</v>
      </c>
      <c r="CH82" s="82">
        <f t="shared" si="46"/>
        <v>-18.858900000000023</v>
      </c>
      <c r="CI82" s="82">
        <f t="shared" si="46"/>
        <v>-19.299700000000023</v>
      </c>
      <c r="CJ82" s="82">
        <f t="shared" si="46"/>
        <v>-19.740500000000022</v>
      </c>
      <c r="CK82" s="82">
        <f t="shared" si="46"/>
        <v>-20.181300000000022</v>
      </c>
      <c r="CL82" s="82">
        <f t="shared" si="46"/>
        <v>-20.622100000000025</v>
      </c>
      <c r="CM82" s="82">
        <f t="shared" si="46"/>
        <v>-21.062900000000024</v>
      </c>
      <c r="CN82" s="82">
        <f t="shared" si="46"/>
        <v>-21.503700000000023</v>
      </c>
      <c r="CO82" s="82">
        <f t="shared" si="46"/>
        <v>-21.944500000000026</v>
      </c>
      <c r="CP82" s="82">
        <f t="shared" si="46"/>
        <v>-22.385300000000026</v>
      </c>
      <c r="CQ82" s="82">
        <f t="shared" si="46"/>
        <v>-22.826100000000025</v>
      </c>
      <c r="CR82" s="82">
        <f t="shared" si="46"/>
        <v>-23.266900000000025</v>
      </c>
      <c r="CS82" s="82">
        <f t="shared" si="46"/>
        <v>-23.707700000000028</v>
      </c>
      <c r="CT82" s="82">
        <f t="shared" si="46"/>
        <v>-24.148500000000027</v>
      </c>
      <c r="CU82" s="82">
        <f t="shared" si="46"/>
        <v>-24.589300000000026</v>
      </c>
      <c r="CV82" s="82">
        <f t="shared" si="46"/>
        <v>-25.030100000000026</v>
      </c>
      <c r="CW82" s="82">
        <f t="shared" si="46"/>
        <v>-25.470900000000029</v>
      </c>
      <c r="CX82" s="82">
        <f t="shared" si="46"/>
        <v>-25.911700000000028</v>
      </c>
      <c r="CY82" s="82">
        <f t="shared" si="46"/>
        <v>-26.352500000000028</v>
      </c>
    </row>
    <row r="83" spans="1:105">
      <c r="B83" s="79" t="s">
        <v>282</v>
      </c>
      <c r="C83" s="80">
        <f>C36*steel!$K$17+calculations!C37*steel!$K$16</f>
        <v>45.280999999999999</v>
      </c>
      <c r="D83" s="82">
        <f>D36*steel!$K$17+calculations!D37*steel!$K$16</f>
        <v>44.631879999999995</v>
      </c>
      <c r="E83" s="82">
        <f>E36*steel!$K$17+calculations!E37*steel!$K$16</f>
        <v>43.982759999999999</v>
      </c>
      <c r="F83" s="82">
        <f>F36*steel!$K$17+calculations!F37*steel!$K$16</f>
        <v>43.333639999999995</v>
      </c>
      <c r="G83" s="82">
        <f>G36*steel!$K$17+calculations!G37*steel!$K$16</f>
        <v>42.684519999999992</v>
      </c>
      <c r="H83" s="82">
        <f>H36*steel!$K$17+calculations!H37*steel!$K$16</f>
        <v>42.035399999999996</v>
      </c>
      <c r="I83" s="82">
        <f>I36*steel!$K$17+calculations!I37*steel!$K$16</f>
        <v>41.386279999999999</v>
      </c>
      <c r="J83" s="82">
        <f>J36*steel!$K$17+calculations!J37*steel!$K$16</f>
        <v>40.737160000000003</v>
      </c>
      <c r="K83" s="82">
        <f>K36*steel!$K$17+calculations!K37*steel!$K$16</f>
        <v>40.088039999999999</v>
      </c>
      <c r="L83" s="82">
        <f>L36*steel!$K$17+calculations!L37*steel!$K$16</f>
        <v>39.438919999999996</v>
      </c>
      <c r="M83" s="82">
        <f>M36*steel!$K$17+calculations!M37*steel!$K$16</f>
        <v>38.7898</v>
      </c>
      <c r="N83" s="82">
        <f>N36*steel!$K$17+calculations!N37*steel!$K$16</f>
        <v>38.140679999999996</v>
      </c>
      <c r="O83" s="82">
        <f>O36*steel!$K$17+calculations!O37*steel!$K$16</f>
        <v>37.49156</v>
      </c>
      <c r="P83" s="82">
        <f>P36*steel!$K$17+calculations!P37*steel!$K$16</f>
        <v>36.666440000000001</v>
      </c>
      <c r="Q83" s="82">
        <f>Q36*steel!$K$17+calculations!Q37*steel!$K$16</f>
        <v>35.665320000000001</v>
      </c>
      <c r="R83" s="82">
        <f>R36*steel!$K$17+calculations!R37*steel!$K$16</f>
        <v>34.664199999999994</v>
      </c>
      <c r="S83" s="82">
        <f>S36*steel!$K$17+calculations!S37*steel!$K$16</f>
        <v>33.663080000000001</v>
      </c>
      <c r="T83" s="82">
        <f>T36*steel!$K$17+calculations!T37*steel!$K$16</f>
        <v>32.661959999999993</v>
      </c>
      <c r="U83" s="82">
        <f>U36*steel!$K$17+calculations!U37*steel!$K$16</f>
        <v>31.660839999999993</v>
      </c>
      <c r="V83" s="82">
        <f>V36*steel!$K$17+calculations!V37*steel!$K$16</f>
        <v>30.659719999999993</v>
      </c>
      <c r="W83" s="82">
        <f>W36*steel!$K$17+calculations!W37*steel!$K$16</f>
        <v>29.658599999999993</v>
      </c>
      <c r="X83" s="82">
        <f>X36*steel!$K$17+calculations!X37*steel!$K$16</f>
        <v>28.657479999999993</v>
      </c>
      <c r="Y83" s="82">
        <f>Y36*steel!$K$17+calculations!Y37*steel!$K$16</f>
        <v>27.656359999999992</v>
      </c>
      <c r="Z83" s="82">
        <f>Z36*steel!$K$17+calculations!Z37*steel!$K$16</f>
        <v>26.655239999999992</v>
      </c>
      <c r="AA83" s="82">
        <f>AA36*steel!$K$17+calculations!AA37*steel!$K$16</f>
        <v>25.654119999999988</v>
      </c>
      <c r="AB83" s="82">
        <f>AB36*steel!$K$17+calculations!AB37*steel!$K$16</f>
        <v>24.652999999999992</v>
      </c>
      <c r="AC83" s="82">
        <f>AC36*steel!$K$17+calculations!AC37*steel!$K$16</f>
        <v>23.651879999999991</v>
      </c>
      <c r="AD83" s="82">
        <f>AD36*steel!$K$17+calculations!AD37*steel!$K$16</f>
        <v>22.650759999999991</v>
      </c>
      <c r="AE83" s="82">
        <f>AE36*steel!$K$17+calculations!AE37*steel!$K$16</f>
        <v>21.649639999999991</v>
      </c>
      <c r="AF83" s="82">
        <f>AF36*steel!$K$17+calculations!AF37*steel!$K$16</f>
        <v>20.648519999999991</v>
      </c>
      <c r="AG83" s="82">
        <f>AG36*steel!$K$17+calculations!AG37*steel!$K$16</f>
        <v>19.64739999999999</v>
      </c>
      <c r="AH83" s="82">
        <f>AH36*steel!$K$17+calculations!AH37*steel!$K$16</f>
        <v>18.64627999999999</v>
      </c>
      <c r="AI83" s="82">
        <f>AI36*steel!$K$17+calculations!AI37*steel!$K$16</f>
        <v>17.645159999999986</v>
      </c>
      <c r="AJ83" s="82">
        <f>AJ36*steel!$K$17+calculations!AJ37*steel!$K$16</f>
        <v>16.644039999999986</v>
      </c>
      <c r="AK83" s="82">
        <f>AK36*steel!$K$17+calculations!AK37*steel!$K$16</f>
        <v>15.642919999999984</v>
      </c>
      <c r="AL83" s="82">
        <f>AL36*steel!$K$17+calculations!AL37*steel!$K$16</f>
        <v>14.641799999999986</v>
      </c>
      <c r="AM83" s="82">
        <f>AM36*steel!$K$17+calculations!AM37*steel!$K$16</f>
        <v>13.640679999999984</v>
      </c>
      <c r="AN83" s="82">
        <f>AN36*steel!$K$17+calculations!AN37*steel!$K$16</f>
        <v>12.639559999999983</v>
      </c>
      <c r="AO83" s="82">
        <f>AO36*steel!$K$17+calculations!AO37*steel!$K$16</f>
        <v>5.6384399999999824</v>
      </c>
      <c r="AP83" s="82">
        <f>AP36*steel!$K$17+calculations!AP37*steel!$K$16</f>
        <v>4.637319999999983</v>
      </c>
      <c r="AQ83" s="82">
        <f>AQ36*steel!$K$17+calculations!AQ37*steel!$K$16</f>
        <v>3.636199999999981</v>
      </c>
      <c r="AR83" s="82">
        <f>AR36*steel!$K$17+calculations!AR37*steel!$K$16</f>
        <v>2.635079999999979</v>
      </c>
      <c r="AS83" s="82">
        <f>AS36*steel!$K$17+calculations!AS37*steel!$K$16</f>
        <v>1.6339599999999792</v>
      </c>
      <c r="AT83" s="82">
        <f>AT36*steel!$K$17+calculations!AT37*steel!$K$16</f>
        <v>0.63283999999997731</v>
      </c>
      <c r="AU83" s="82">
        <f>AU36*steel!$K$17+calculations!AU37*steel!$K$16</f>
        <v>-0.36828000000002226</v>
      </c>
      <c r="AV83" s="82">
        <f>AV36*steel!$K$17+calculations!AV37*steel!$K$16</f>
        <v>-1.3694000000000242</v>
      </c>
      <c r="AW83" s="82">
        <f>AW36*steel!$K$17+calculations!AW37*steel!$K$16</f>
        <v>-2.3705200000000239</v>
      </c>
      <c r="AX83" s="82">
        <f>AX36*steel!$K$17+calculations!AX37*steel!$K$16</f>
        <v>-3.3716400000000259</v>
      </c>
      <c r="AY83" s="82">
        <f>AY36*steel!$K$17+calculations!AY37*steel!$K$16</f>
        <v>-4.3727600000000253</v>
      </c>
      <c r="AZ83" s="82">
        <f>AZ36*steel!$K$17+calculations!AZ37*steel!$K$16</f>
        <v>-5.3738800000000273</v>
      </c>
      <c r="BA83" s="82">
        <f>BA36*steel!$K$17+calculations!BA37*steel!$K$16</f>
        <v>-6.3750000000000231</v>
      </c>
      <c r="BB83" s="82">
        <f>BB36*steel!$K$17+calculations!BB37*steel!$K$16</f>
        <v>-7.0241200000000141</v>
      </c>
      <c r="BC83" s="82">
        <f>BC36*steel!$K$17+calculations!BC37*steel!$K$16</f>
        <v>-7.6732400000000158</v>
      </c>
      <c r="BD83" s="82">
        <f>BD36*steel!$K$17+calculations!BD37*steel!$K$16</f>
        <v>-8.3223600000000157</v>
      </c>
      <c r="BE83" s="82">
        <f>BE36*steel!$K$17+calculations!BE37*steel!$K$16</f>
        <v>-8.9714800000000174</v>
      </c>
      <c r="BF83" s="82">
        <f>BF36*steel!$K$17+calculations!BF37*steel!$K$16</f>
        <v>-9.6206000000000174</v>
      </c>
      <c r="BG83" s="82">
        <f>BG36*steel!$K$17+calculations!BG37*steel!$K$16</f>
        <v>-10.269720000000017</v>
      </c>
      <c r="BH83" s="82">
        <f>BH36*steel!$K$17+calculations!BH37*steel!$K$16</f>
        <v>-10.918840000000021</v>
      </c>
      <c r="BI83" s="82">
        <f>BI36*steel!$K$17+calculations!BI37*steel!$K$16</f>
        <v>-11.567960000000019</v>
      </c>
      <c r="BJ83" s="82">
        <f>BJ36*steel!$K$17+calculations!BJ37*steel!$K$16</f>
        <v>-12.217080000000019</v>
      </c>
      <c r="BK83" s="82">
        <f>BK36*steel!$K$17+calculations!BK37*steel!$K$16</f>
        <v>-12.866200000000017</v>
      </c>
      <c r="BL83" s="82">
        <f>BL36*steel!$K$17+calculations!BL37*steel!$K$16</f>
        <v>-13.515320000000022</v>
      </c>
      <c r="BM83" s="82">
        <f>BM36*steel!$K$17+calculations!BM37*steel!$K$16</f>
        <v>-14.164440000000022</v>
      </c>
      <c r="BN83" s="82">
        <f>BN36*steel!$K$17+calculations!BN37*steel!$K$16</f>
        <v>-14.81356000000002</v>
      </c>
      <c r="BO83" s="82">
        <f>BO36*steel!$K$17+calculations!BO37*steel!$K$16</f>
        <v>-15.462680000000024</v>
      </c>
      <c r="BP83" s="82">
        <f>BP36*steel!$K$17+calculations!BP37*steel!$K$16</f>
        <v>-16.111800000000024</v>
      </c>
      <c r="BQ83" s="82">
        <f>BQ36*steel!$K$17+calculations!BQ37*steel!$K$16</f>
        <v>-16.760920000000024</v>
      </c>
      <c r="BR83" s="82">
        <f>BR36*steel!$K$17+calculations!BR37*steel!$K$16</f>
        <v>-17.410040000000023</v>
      </c>
      <c r="BS83" s="82">
        <f>BS36*steel!$K$17+calculations!BS37*steel!$K$16</f>
        <v>-18.059160000000027</v>
      </c>
      <c r="BT83" s="82">
        <f>BT36*steel!$K$17+calculations!BT37*steel!$K$16</f>
        <v>-18.708280000000023</v>
      </c>
      <c r="BU83" s="82">
        <f>BU36*steel!$K$17+calculations!BU37*steel!$K$16</f>
        <v>-19.357400000000027</v>
      </c>
      <c r="BV83" s="82">
        <f>BV36*steel!$K$17+calculations!BV37*steel!$K$16</f>
        <v>-20.006520000000023</v>
      </c>
      <c r="BW83" s="82">
        <f>BW36*steel!$K$17+calculations!BW37*steel!$K$16</f>
        <v>-20.655640000000027</v>
      </c>
      <c r="BX83" s="82">
        <f>BX36*steel!$K$17+calculations!BX37*steel!$K$16</f>
        <v>-21.304760000000027</v>
      </c>
      <c r="BY83" s="82">
        <f>BY36*steel!$K$17+calculations!BY37*steel!$K$16</f>
        <v>-21.953880000000026</v>
      </c>
      <c r="BZ83" s="82">
        <f>BZ36*steel!$K$17+calculations!BZ37*steel!$K$16</f>
        <v>-22.60300000000003</v>
      </c>
      <c r="CA83" s="82">
        <f>CA36*steel!$K$17+calculations!CA37*steel!$K$16</f>
        <v>-23.25212000000003</v>
      </c>
      <c r="CB83" s="82">
        <f>CB36*steel!$K$17+calculations!CB37*steel!$K$16</f>
        <v>-23.90124000000003</v>
      </c>
      <c r="CC83" s="82">
        <f>CC36*steel!$K$17+calculations!CC37*steel!$K$16</f>
        <v>-24.550360000000026</v>
      </c>
      <c r="CD83" s="82">
        <f>CD36*steel!$K$17+calculations!CD37*steel!$K$16</f>
        <v>-25.19948000000003</v>
      </c>
      <c r="CE83" s="82">
        <f>CE36*steel!$K$17+calculations!CE37*steel!$K$16</f>
        <v>-25.848600000000033</v>
      </c>
      <c r="CF83" s="82">
        <f>CF36*steel!$K$17+calculations!CF37*steel!$K$16</f>
        <v>-26.497720000000029</v>
      </c>
      <c r="CG83" s="82">
        <f>CG36*steel!$K$17+calculations!CG37*steel!$K$16</f>
        <v>-27.146840000000029</v>
      </c>
      <c r="CH83" s="82">
        <f>CH36*steel!$K$17+calculations!CH37*steel!$K$16</f>
        <v>-27.795960000000033</v>
      </c>
      <c r="CI83" s="82">
        <f>CI36*steel!$K$17+calculations!CI37*steel!$K$16</f>
        <v>-28.445080000000033</v>
      </c>
      <c r="CJ83" s="82">
        <f>CJ36*steel!$K$17+calculations!CJ37*steel!$K$16</f>
        <v>-29.094200000000033</v>
      </c>
      <c r="CK83" s="82">
        <f>CK36*steel!$K$17+calculations!CK37*steel!$K$16</f>
        <v>-29.743320000000033</v>
      </c>
      <c r="CL83" s="82">
        <f>CL36*steel!$K$17+calculations!CL37*steel!$K$16</f>
        <v>-30.392440000000036</v>
      </c>
      <c r="CM83" s="82">
        <f>CM36*steel!$K$17+calculations!CM37*steel!$K$16</f>
        <v>-31.041560000000036</v>
      </c>
      <c r="CN83" s="82">
        <f>CN36*steel!$K$17+calculations!CN37*steel!$K$16</f>
        <v>-31.690680000000032</v>
      </c>
      <c r="CO83" s="82">
        <f>CO36*steel!$K$17+calculations!CO37*steel!$K$16</f>
        <v>-32.339800000000039</v>
      </c>
      <c r="CP83" s="82">
        <f>CP36*steel!$K$17+calculations!CP37*steel!$K$16</f>
        <v>-32.988920000000036</v>
      </c>
      <c r="CQ83" s="82">
        <f>CQ36*steel!$K$17+calculations!CQ37*steel!$K$16</f>
        <v>-33.638040000000032</v>
      </c>
      <c r="CR83" s="82">
        <f>CR36*steel!$K$17+calculations!CR37*steel!$K$16</f>
        <v>-34.287160000000036</v>
      </c>
      <c r="CS83" s="82">
        <f>CS36*steel!$K$17+calculations!CS37*steel!$K$16</f>
        <v>-34.936280000000039</v>
      </c>
      <c r="CT83" s="82">
        <f>CT36*steel!$K$17+calculations!CT37*steel!$K$16</f>
        <v>-35.585400000000035</v>
      </c>
      <c r="CU83" s="82">
        <f>CU36*steel!$K$17+calculations!CU37*steel!$K$16</f>
        <v>-36.234520000000039</v>
      </c>
      <c r="CV83" s="82">
        <f>CV36*steel!$K$17+calculations!CV37*steel!$K$16</f>
        <v>-36.883640000000042</v>
      </c>
      <c r="CW83" s="82">
        <f>CW36*steel!$K$17+calculations!CW37*steel!$K$16</f>
        <v>-37.532760000000039</v>
      </c>
      <c r="CX83" s="82">
        <f>CX36*steel!$K$17+calculations!CX37*steel!$K$16</f>
        <v>-38.181880000000042</v>
      </c>
      <c r="CY83" s="82">
        <f>CY36*steel!$K$17+calculations!CY37*steel!$K$16</f>
        <v>-38.831000000000039</v>
      </c>
    </row>
    <row r="84" spans="1:105">
      <c r="B84" s="79" t="s">
        <v>285</v>
      </c>
      <c r="C84" s="80">
        <f t="shared" ref="C84:AH84" si="47">(-SUM(C63:C71))/(E*Ix/100000)</f>
        <v>0</v>
      </c>
      <c r="D84" s="82">
        <f t="shared" si="47"/>
        <v>-0.17051103315458713</v>
      </c>
      <c r="E84" s="82">
        <f t="shared" si="47"/>
        <v>-0.34082333898402867</v>
      </c>
      <c r="F84" s="82">
        <f t="shared" si="47"/>
        <v>-0.51074078809894563</v>
      </c>
      <c r="G84" s="82">
        <f t="shared" si="47"/>
        <v>-0.68007008522170431</v>
      </c>
      <c r="H84" s="82">
        <f t="shared" si="47"/>
        <v>-0.8486207691864166</v>
      </c>
      <c r="I84" s="82">
        <f t="shared" si="47"/>
        <v>-1.0162052129389396</v>
      </c>
      <c r="J84" s="82">
        <f t="shared" si="47"/>
        <v>-1.1826386235368758</v>
      </c>
      <c r="K84" s="82">
        <f t="shared" si="47"/>
        <v>-1.3477390421495727</v>
      </c>
      <c r="L84" s="82">
        <f t="shared" si="47"/>
        <v>-1.5113273440581236</v>
      </c>
      <c r="M84" s="82">
        <f t="shared" si="47"/>
        <v>-1.6732272386553677</v>
      </c>
      <c r="N84" s="82">
        <f t="shared" si="47"/>
        <v>-1.8332652694458886</v>
      </c>
      <c r="O84" s="82">
        <f t="shared" si="47"/>
        <v>-1.9912708140460158</v>
      </c>
      <c r="P84" s="82">
        <f t="shared" si="47"/>
        <v>-2.1470760878740736</v>
      </c>
      <c r="Q84" s="82">
        <f t="shared" si="47"/>
        <v>-2.3005164246093561</v>
      </c>
      <c r="R84" s="82">
        <f t="shared" si="47"/>
        <v>-2.4514311249495511</v>
      </c>
      <c r="S84" s="82">
        <f t="shared" si="47"/>
        <v>-2.5996637370697155</v>
      </c>
      <c r="T84" s="82">
        <f t="shared" si="47"/>
        <v>-2.7450620603125229</v>
      </c>
      <c r="U84" s="82">
        <f t="shared" si="47"/>
        <v>-2.8874781451882652</v>
      </c>
      <c r="V84" s="82">
        <f t="shared" si="47"/>
        <v>-3.0267682933748539</v>
      </c>
      <c r="W84" s="82">
        <f t="shared" si="47"/>
        <v>-3.1627930577178174</v>
      </c>
      <c r="X84" s="82">
        <f t="shared" si="47"/>
        <v>-3.2954172422303007</v>
      </c>
      <c r="Y84" s="82">
        <f t="shared" si="47"/>
        <v>-3.42450990209307</v>
      </c>
      <c r="Z84" s="82">
        <f t="shared" si="47"/>
        <v>-3.5499443436545071</v>
      </c>
      <c r="AA84" s="82">
        <f t="shared" si="47"/>
        <v>-3.6715981244306137</v>
      </c>
      <c r="AB84" s="82">
        <f t="shared" si="47"/>
        <v>-3.7893530531050064</v>
      </c>
      <c r="AC84" s="82">
        <f t="shared" si="47"/>
        <v>-3.9030951895289245</v>
      </c>
      <c r="AD84" s="82">
        <f t="shared" si="47"/>
        <v>-4.0127148447212209</v>
      </c>
      <c r="AE84" s="82">
        <f t="shared" si="47"/>
        <v>-4.1181065808683703</v>
      </c>
      <c r="AF84" s="82">
        <f t="shared" si="47"/>
        <v>-4.2191692113244619</v>
      </c>
      <c r="AG84" s="82">
        <f t="shared" si="47"/>
        <v>-4.3158058006112068</v>
      </c>
      <c r="AH84" s="82">
        <f t="shared" si="47"/>
        <v>-4.4079236644179307</v>
      </c>
      <c r="AI84" s="82">
        <f t="shared" ref="AI84:BN84" si="48">(-SUM(AI63:AI71))/(E*Ix/100000)</f>
        <v>-4.4954343696015782</v>
      </c>
      <c r="AJ84" s="82">
        <f t="shared" si="48"/>
        <v>-4.5782537341867133</v>
      </c>
      <c r="AK84" s="82">
        <f t="shared" si="48"/>
        <v>-4.6563018273655175</v>
      </c>
      <c r="AL84" s="82">
        <f t="shared" si="48"/>
        <v>-4.7295029694977906</v>
      </c>
      <c r="AM84" s="82">
        <f t="shared" si="48"/>
        <v>-4.7977857321109481</v>
      </c>
      <c r="AN84" s="82">
        <f t="shared" si="48"/>
        <v>-4.8610829379000284</v>
      </c>
      <c r="AO84" s="82">
        <f t="shared" si="48"/>
        <v>-4.9193323987776161</v>
      </c>
      <c r="AP84" s="82">
        <f t="shared" si="48"/>
        <v>-4.9724931529723921</v>
      </c>
      <c r="AQ84" s="82">
        <f t="shared" si="48"/>
        <v>-5.0205454650291301</v>
      </c>
      <c r="AR84" s="82">
        <f t="shared" si="48"/>
        <v>-5.0634745887101529</v>
      </c>
      <c r="AS84" s="82">
        <f t="shared" si="48"/>
        <v>-5.1012700289454074</v>
      </c>
      <c r="AT84" s="82">
        <f t="shared" si="48"/>
        <v>-5.1339255418324514</v>
      </c>
      <c r="AU84" s="82">
        <f t="shared" si="48"/>
        <v>-5.1614391346364643</v>
      </c>
      <c r="AV84" s="82">
        <f t="shared" si="48"/>
        <v>-5.1838130657902441</v>
      </c>
      <c r="AW84" s="82">
        <f t="shared" si="48"/>
        <v>-5.2010538448942052</v>
      </c>
      <c r="AX84" s="82">
        <f t="shared" si="48"/>
        <v>-5.2131722327163823</v>
      </c>
      <c r="AY84" s="82">
        <f t="shared" si="48"/>
        <v>-5.2201832411924247</v>
      </c>
      <c r="AZ84" s="82">
        <f t="shared" si="48"/>
        <v>-5.2221061334256023</v>
      </c>
      <c r="BA84" s="82">
        <f t="shared" si="48"/>
        <v>-5.2189644236868045</v>
      </c>
      <c r="BB84" s="82">
        <f t="shared" si="48"/>
        <v>-5.2107858183705371</v>
      </c>
      <c r="BC84" s="82">
        <f t="shared" si="48"/>
        <v>-5.1976015665109987</v>
      </c>
      <c r="BD84" s="82">
        <f t="shared" si="48"/>
        <v>-5.179445810298116</v>
      </c>
      <c r="BE84" s="82">
        <f t="shared" si="48"/>
        <v>-5.1563555260335709</v>
      </c>
      <c r="BF84" s="82">
        <f t="shared" si="48"/>
        <v>-5.1283705241307862</v>
      </c>
      <c r="BG84" s="82">
        <f t="shared" si="48"/>
        <v>-5.0955334491149307</v>
      </c>
      <c r="BH84" s="82">
        <f t="shared" si="48"/>
        <v>-5.0578897796229167</v>
      </c>
      <c r="BI84" s="82">
        <f t="shared" si="48"/>
        <v>-5.015487828403403</v>
      </c>
      <c r="BJ84" s="82">
        <f t="shared" si="48"/>
        <v>-4.9683787423167995</v>
      </c>
      <c r="BK84" s="82">
        <f t="shared" si="48"/>
        <v>-4.916616502335251</v>
      </c>
      <c r="BL84" s="82">
        <f t="shared" si="48"/>
        <v>-4.8602579235426555</v>
      </c>
      <c r="BM84" s="82">
        <f t="shared" si="48"/>
        <v>-4.7993626551346509</v>
      </c>
      <c r="BN84" s="82">
        <f t="shared" si="48"/>
        <v>-4.7339931804186257</v>
      </c>
      <c r="BO84" s="82">
        <f t="shared" ref="BO84:CY84" si="49">(-SUM(BO63:BO71))/(E*Ix/100000)</f>
        <v>-4.6642148168137156</v>
      </c>
      <c r="BP84" s="82">
        <f t="shared" si="49"/>
        <v>-4.59009571585079</v>
      </c>
      <c r="BQ84" s="82">
        <f t="shared" si="49"/>
        <v>-4.5117068631724777</v>
      </c>
      <c r="BR84" s="82">
        <f t="shared" si="49"/>
        <v>-4.4291220785331396</v>
      </c>
      <c r="BS84" s="82">
        <f t="shared" si="49"/>
        <v>-4.3424180157988959</v>
      </c>
      <c r="BT84" s="82">
        <f t="shared" si="49"/>
        <v>-4.2516741629476016</v>
      </c>
      <c r="BU84" s="82">
        <f t="shared" si="49"/>
        <v>-4.1569728420688614</v>
      </c>
      <c r="BV84" s="82">
        <f t="shared" si="49"/>
        <v>-4.0583992093640253</v>
      </c>
      <c r="BW84" s="82">
        <f t="shared" si="49"/>
        <v>-3.9560412551461841</v>
      </c>
      <c r="BX84" s="82">
        <f t="shared" si="49"/>
        <v>-3.849989803840181</v>
      </c>
      <c r="BY84" s="82">
        <f t="shared" si="49"/>
        <v>-3.7403385139826004</v>
      </c>
      <c r="BZ84" s="82">
        <f t="shared" si="49"/>
        <v>-3.6271838782217767</v>
      </c>
      <c r="CA84" s="82">
        <f t="shared" si="49"/>
        <v>-3.5106252233177795</v>
      </c>
      <c r="CB84" s="82">
        <f t="shared" si="49"/>
        <v>-3.3907647101424327</v>
      </c>
      <c r="CC84" s="82">
        <f t="shared" si="49"/>
        <v>-3.2677073336793074</v>
      </c>
      <c r="CD84" s="82">
        <f t="shared" si="49"/>
        <v>-3.141560923023714</v>
      </c>
      <c r="CE84" s="82">
        <f t="shared" si="49"/>
        <v>-3.012436141382707</v>
      </c>
      <c r="CF84" s="82">
        <f t="shared" si="49"/>
        <v>-2.8804464860750914</v>
      </c>
      <c r="CG84" s="82">
        <f t="shared" si="49"/>
        <v>-2.7457082885314108</v>
      </c>
      <c r="CH84" s="82">
        <f t="shared" si="49"/>
        <v>-2.6083407142939663</v>
      </c>
      <c r="CI84" s="82">
        <f t="shared" si="49"/>
        <v>-2.4684657630167912</v>
      </c>
      <c r="CJ84" s="82">
        <f t="shared" si="49"/>
        <v>-2.326208268465678</v>
      </c>
      <c r="CK84" s="82">
        <f t="shared" si="49"/>
        <v>-2.1816958985181509</v>
      </c>
      <c r="CL84" s="82">
        <f t="shared" si="49"/>
        <v>-2.035059155163482</v>
      </c>
      <c r="CM84" s="82">
        <f t="shared" si="49"/>
        <v>-1.8864313745027004</v>
      </c>
      <c r="CN84" s="82">
        <f t="shared" si="49"/>
        <v>-1.7359487267485554</v>
      </c>
      <c r="CO84" s="82">
        <f t="shared" si="49"/>
        <v>-1.5837502162255783</v>
      </c>
      <c r="CP84" s="82">
        <f t="shared" si="49"/>
        <v>-1.4299776813700196</v>
      </c>
      <c r="CQ84" s="82">
        <f t="shared" si="49"/>
        <v>-1.2747757947298772</v>
      </c>
      <c r="CR84" s="82">
        <f t="shared" si="49"/>
        <v>-1.1182920629649047</v>
      </c>
      <c r="CS84" s="82">
        <f t="shared" si="49"/>
        <v>-0.96067682684657985</v>
      </c>
      <c r="CT84" s="82">
        <f t="shared" si="49"/>
        <v>-0.80208326125816187</v>
      </c>
      <c r="CU84" s="82">
        <f t="shared" si="49"/>
        <v>-0.64266737519462025</v>
      </c>
      <c r="CV84" s="82">
        <f t="shared" si="49"/>
        <v>-0.48258801176268412</v>
      </c>
      <c r="CW84" s="82">
        <f t="shared" si="49"/>
        <v>-0.3220068481808403</v>
      </c>
      <c r="CX84" s="82">
        <f t="shared" si="49"/>
        <v>-0.16108839577929596</v>
      </c>
      <c r="CY84" s="82">
        <f t="shared" si="49"/>
        <v>0</v>
      </c>
    </row>
    <row r="85" spans="1:105">
      <c r="B85" s="79" t="s">
        <v>286</v>
      </c>
      <c r="C85" s="80">
        <f t="shared" ref="C85:AH85" si="50">(-SUM(C48:C56)-SUM(C63:C71))/(E*Ix/100000)</f>
        <v>0</v>
      </c>
      <c r="D85" s="82">
        <f t="shared" si="50"/>
        <v>-0.46012353077552975</v>
      </c>
      <c r="E85" s="82">
        <f t="shared" si="50"/>
        <v>-0.91970733390071047</v>
      </c>
      <c r="F85" s="82">
        <f t="shared" si="50"/>
        <v>-1.3782188390382304</v>
      </c>
      <c r="G85" s="82">
        <f t="shared" si="50"/>
        <v>-1.8351332838286367</v>
      </c>
      <c r="H85" s="82">
        <f t="shared" si="50"/>
        <v>-2.2899337138903335</v>
      </c>
      <c r="I85" s="82">
        <f t="shared" si="50"/>
        <v>-2.7421109828195855</v>
      </c>
      <c r="J85" s="82">
        <f t="shared" si="50"/>
        <v>-3.1911637521905138</v>
      </c>
      <c r="K85" s="82">
        <f t="shared" si="50"/>
        <v>-3.6365984915551</v>
      </c>
      <c r="L85" s="82">
        <f t="shared" si="50"/>
        <v>-4.0779294784431821</v>
      </c>
      <c r="M85" s="82">
        <f t="shared" si="50"/>
        <v>-4.5146787983624579</v>
      </c>
      <c r="N85" s="82">
        <f t="shared" si="50"/>
        <v>-4.9463763447984839</v>
      </c>
      <c r="O85" s="82">
        <f t="shared" si="50"/>
        <v>-5.3725598192146755</v>
      </c>
      <c r="P85" s="82">
        <f t="shared" si="50"/>
        <v>-5.7927747421230542</v>
      </c>
      <c r="Q85" s="82">
        <f t="shared" si="50"/>
        <v>-6.2065752944611745</v>
      </c>
      <c r="R85" s="82">
        <f t="shared" si="50"/>
        <v>-6.6135268638643927</v>
      </c>
      <c r="S85" s="82">
        <f t="shared" si="50"/>
        <v>-7.013206886042795</v>
      </c>
      <c r="T85" s="82">
        <f t="shared" si="50"/>
        <v>-7.4052048558519408</v>
      </c>
      <c r="U85" s="82">
        <f t="shared" si="50"/>
        <v>-7.7891223272928682</v>
      </c>
      <c r="V85" s="82">
        <f t="shared" si="50"/>
        <v>-8.1645729135120941</v>
      </c>
      <c r="W85" s="82">
        <f t="shared" si="50"/>
        <v>-8.5311822868016058</v>
      </c>
      <c r="X85" s="82">
        <f t="shared" si="50"/>
        <v>-8.8885881785988747</v>
      </c>
      <c r="Y85" s="82">
        <f t="shared" si="50"/>
        <v>-9.2364403794868419</v>
      </c>
      <c r="Z85" s="82">
        <f t="shared" si="50"/>
        <v>-9.5744007391939281</v>
      </c>
      <c r="AA85" s="82">
        <f t="shared" si="50"/>
        <v>-9.9021431665940334</v>
      </c>
      <c r="AB85" s="82">
        <f t="shared" si="50"/>
        <v>-10.219353629706527</v>
      </c>
      <c r="AC85" s="82">
        <f t="shared" si="50"/>
        <v>-10.525730155696264</v>
      </c>
      <c r="AD85" s="82">
        <f t="shared" si="50"/>
        <v>-10.82098283087357</v>
      </c>
      <c r="AE85" s="82">
        <f t="shared" si="50"/>
        <v>-11.104833800694248</v>
      </c>
      <c r="AF85" s="82">
        <f t="shared" si="50"/>
        <v>-11.377017269759577</v>
      </c>
      <c r="AG85" s="82">
        <f t="shared" si="50"/>
        <v>-11.637279501816316</v>
      </c>
      <c r="AH85" s="82">
        <f t="shared" si="50"/>
        <v>-11.885378819756697</v>
      </c>
      <c r="AI85" s="82">
        <f t="shared" ref="AI85:BN85" si="51">(-SUM(AI48:AI56)-SUM(AI63:AI71))/(E*Ix/100000)</f>
        <v>-12.121085605618429</v>
      </c>
      <c r="AJ85" s="82">
        <f t="shared" si="51"/>
        <v>-12.344182300584698</v>
      </c>
      <c r="AK85" s="82">
        <f t="shared" si="51"/>
        <v>-12.554463404984167</v>
      </c>
      <c r="AL85" s="82">
        <f t="shared" si="51"/>
        <v>-12.751735478290978</v>
      </c>
      <c r="AM85" s="82">
        <f t="shared" si="51"/>
        <v>-12.935817139124742</v>
      </c>
      <c r="AN85" s="82">
        <f t="shared" si="51"/>
        <v>-13.10653906525056</v>
      </c>
      <c r="AO85" s="82">
        <f t="shared" si="51"/>
        <v>-13.263745469678859</v>
      </c>
      <c r="AP85" s="82">
        <f t="shared" si="51"/>
        <v>-13.407326574862509</v>
      </c>
      <c r="AQ85" s="82">
        <f t="shared" si="51"/>
        <v>-13.537218612696794</v>
      </c>
      <c r="AR85" s="82">
        <f t="shared" si="51"/>
        <v>-13.653371350322349</v>
      </c>
      <c r="AS85" s="82">
        <f t="shared" si="51"/>
        <v>-13.755746614025282</v>
      </c>
      <c r="AT85" s="82">
        <f t="shared" si="51"/>
        <v>-13.844318289237187</v>
      </c>
      <c r="AU85" s="82">
        <f t="shared" si="51"/>
        <v>-13.919072320535117</v>
      </c>
      <c r="AV85" s="82">
        <f t="shared" si="51"/>
        <v>-13.980006711641614</v>
      </c>
      <c r="AW85" s="82">
        <f t="shared" si="51"/>
        <v>-14.027131525424698</v>
      </c>
      <c r="AX85" s="82">
        <f t="shared" si="51"/>
        <v>-14.060468883897858</v>
      </c>
      <c r="AY85" s="82">
        <f t="shared" si="51"/>
        <v>-14.080052968220061</v>
      </c>
      <c r="AZ85" s="82">
        <f t="shared" si="51"/>
        <v>-14.085930018695761</v>
      </c>
      <c r="BA85" s="82">
        <f t="shared" si="51"/>
        <v>-14.078158334774871</v>
      </c>
      <c r="BB85" s="82">
        <f t="shared" si="51"/>
        <v>-14.056808097920808</v>
      </c>
      <c r="BC85" s="82">
        <f t="shared" si="51"/>
        <v>-14.021959423158656</v>
      </c>
      <c r="BD85" s="82">
        <f t="shared" si="51"/>
        <v>-13.973700410623337</v>
      </c>
      <c r="BE85" s="82">
        <f t="shared" si="51"/>
        <v>-13.912126968427637</v>
      </c>
      <c r="BF85" s="82">
        <f t="shared" si="51"/>
        <v>-13.837342812662204</v>
      </c>
      <c r="BG85" s="82">
        <f t="shared" si="51"/>
        <v>-13.749459467395525</v>
      </c>
      <c r="BH85" s="82">
        <f t="shared" si="51"/>
        <v>-13.648596264673966</v>
      </c>
      <c r="BI85" s="82">
        <f t="shared" si="51"/>
        <v>-13.534880344521742</v>
      </c>
      <c r="BJ85" s="82">
        <f t="shared" si="51"/>
        <v>-13.408446654940935</v>
      </c>
      <c r="BK85" s="82">
        <f t="shared" si="51"/>
        <v>-13.269437951911467</v>
      </c>
      <c r="BL85" s="82">
        <f t="shared" si="51"/>
        <v>-13.118004799391148</v>
      </c>
      <c r="BM85" s="82">
        <f t="shared" si="51"/>
        <v>-12.95430556931561</v>
      </c>
      <c r="BN85" s="82">
        <f t="shared" si="51"/>
        <v>-12.778506441598372</v>
      </c>
      <c r="BO85" s="82">
        <f t="shared" ref="BO85:CY85" si="52">(-SUM(BO48:BO56)-SUM(BO63:BO71))/(E*Ix/100000)</f>
        <v>-12.590781404130807</v>
      </c>
      <c r="BP85" s="82">
        <f t="shared" si="52"/>
        <v>-12.391312252782141</v>
      </c>
      <c r="BQ85" s="82">
        <f t="shared" si="52"/>
        <v>-12.180288591399448</v>
      </c>
      <c r="BR85" s="82">
        <f t="shared" si="52"/>
        <v>-11.957907831807681</v>
      </c>
      <c r="BS85" s="82">
        <f t="shared" si="52"/>
        <v>-11.724375193809639</v>
      </c>
      <c r="BT85" s="82">
        <f t="shared" si="52"/>
        <v>-11.479903705185992</v>
      </c>
      <c r="BU85" s="82">
        <f t="shared" si="52"/>
        <v>-11.224714201695244</v>
      </c>
      <c r="BV85" s="82">
        <f t="shared" si="52"/>
        <v>-10.959035327073783</v>
      </c>
      <c r="BW85" s="82">
        <f t="shared" si="52"/>
        <v>-10.683103533035839</v>
      </c>
      <c r="BX85" s="82">
        <f t="shared" si="52"/>
        <v>-10.397163079273518</v>
      </c>
      <c r="BY85" s="82">
        <f t="shared" si="52"/>
        <v>-10.101466033456761</v>
      </c>
      <c r="BZ85" s="82">
        <f t="shared" si="52"/>
        <v>-9.7962722712333843</v>
      </c>
      <c r="CA85" s="82">
        <f t="shared" si="52"/>
        <v>-9.4818494762290602</v>
      </c>
      <c r="CB85" s="82">
        <f t="shared" si="52"/>
        <v>-9.1584731400473149</v>
      </c>
      <c r="CC85" s="82">
        <f t="shared" si="52"/>
        <v>-8.8264265622695337</v>
      </c>
      <c r="CD85" s="82">
        <f t="shared" si="52"/>
        <v>-8.4860008504549729</v>
      </c>
      <c r="CE85" s="82">
        <f t="shared" si="52"/>
        <v>-8.1374949201407301</v>
      </c>
      <c r="CF85" s="82">
        <f t="shared" si="52"/>
        <v>-7.7812154948417627</v>
      </c>
      <c r="CG85" s="82">
        <f t="shared" si="52"/>
        <v>-7.4174771060508906</v>
      </c>
      <c r="CH85" s="82">
        <f t="shared" si="52"/>
        <v>-7.0466020932388096</v>
      </c>
      <c r="CI85" s="82">
        <f t="shared" si="52"/>
        <v>-6.6689206038540325</v>
      </c>
      <c r="CJ85" s="82">
        <f t="shared" si="52"/>
        <v>-6.284770593322988</v>
      </c>
      <c r="CK85" s="82">
        <f t="shared" si="52"/>
        <v>-5.8944978250499149</v>
      </c>
      <c r="CL85" s="82">
        <f t="shared" si="52"/>
        <v>-5.4984558704169144</v>
      </c>
      <c r="CM85" s="82">
        <f t="shared" si="52"/>
        <v>-5.0970061087839893</v>
      </c>
      <c r="CN85" s="82">
        <f t="shared" si="52"/>
        <v>-4.6905177274889276</v>
      </c>
      <c r="CO85" s="82">
        <f t="shared" si="52"/>
        <v>-4.2793677218474633</v>
      </c>
      <c r="CP85" s="82">
        <f t="shared" si="52"/>
        <v>-3.8639408951531253</v>
      </c>
      <c r="CQ85" s="82">
        <f t="shared" si="52"/>
        <v>-3.4446298586773154</v>
      </c>
      <c r="CR85" s="82">
        <f t="shared" si="52"/>
        <v>-3.021835031669307</v>
      </c>
      <c r="CS85" s="82">
        <f t="shared" si="52"/>
        <v>-2.5959646413562001</v>
      </c>
      <c r="CT85" s="82">
        <f t="shared" si="52"/>
        <v>-2.1674347229430051</v>
      </c>
      <c r="CU85" s="82">
        <f t="shared" si="52"/>
        <v>-1.7366691196125656</v>
      </c>
      <c r="CV85" s="82">
        <f t="shared" si="52"/>
        <v>-1.3040994825255448</v>
      </c>
      <c r="CW85" s="82">
        <f t="shared" si="52"/>
        <v>-0.87016527082054684</v>
      </c>
      <c r="CX85" s="82">
        <f t="shared" si="52"/>
        <v>-0.43531375161394859</v>
      </c>
      <c r="CY85" s="82">
        <f t="shared" si="52"/>
        <v>0</v>
      </c>
    </row>
    <row r="86" spans="1:105">
      <c r="B86" s="79" t="s">
        <v>302</v>
      </c>
      <c r="C86" s="80">
        <f>IF(steel!$AH$64=0,calculations!C84,calculations!C85)</f>
        <v>0</v>
      </c>
      <c r="D86" s="82">
        <f>IF(steel!$AH$64=0,calculations!D84,calculations!D85)</f>
        <v>-0.46012353077552975</v>
      </c>
      <c r="E86" s="82">
        <f>IF(steel!$AH$64=0,calculations!E84,calculations!E85)</f>
        <v>-0.91970733390071047</v>
      </c>
      <c r="F86" s="82">
        <f>IF(steel!$AH$64=0,calculations!F84,calculations!F85)</f>
        <v>-1.3782188390382304</v>
      </c>
      <c r="G86" s="82">
        <f>IF(steel!$AH$64=0,calculations!G84,calculations!G85)</f>
        <v>-1.8351332838286367</v>
      </c>
      <c r="H86" s="82">
        <f>IF(steel!$AH$64=0,calculations!H84,calculations!H85)</f>
        <v>-2.2899337138903335</v>
      </c>
      <c r="I86" s="82">
        <f>IF(steel!$AH$64=0,calculations!I84,calculations!I85)</f>
        <v>-2.7421109828195855</v>
      </c>
      <c r="J86" s="82">
        <f>IF(steel!$AH$64=0,calculations!J84,calculations!J85)</f>
        <v>-3.1911637521905138</v>
      </c>
      <c r="K86" s="82">
        <f>IF(steel!$AH$64=0,calculations!K84,calculations!K85)</f>
        <v>-3.6365984915551</v>
      </c>
      <c r="L86" s="82">
        <f>IF(steel!$AH$64=0,calculations!L84,calculations!L85)</f>
        <v>-4.0779294784431821</v>
      </c>
      <c r="M86" s="82">
        <f>IF(steel!$AH$64=0,calculations!M84,calculations!M85)</f>
        <v>-4.5146787983624579</v>
      </c>
      <c r="N86" s="82">
        <f>IF(steel!$AH$64=0,calculations!N84,calculations!N85)</f>
        <v>-4.9463763447984839</v>
      </c>
      <c r="O86" s="82">
        <f>IF(steel!$AH$64=0,calculations!O84,calculations!O85)</f>
        <v>-5.3725598192146755</v>
      </c>
      <c r="P86" s="82">
        <f>IF(steel!$AH$64=0,calculations!P84,calculations!P85)</f>
        <v>-5.7927747421230542</v>
      </c>
      <c r="Q86" s="82">
        <f>IF(steel!$AH$64=0,calculations!Q84,calculations!Q85)</f>
        <v>-6.2065752944611745</v>
      </c>
      <c r="R86" s="82">
        <f>IF(steel!$AH$64=0,calculations!R84,calculations!R85)</f>
        <v>-6.6135268638643927</v>
      </c>
      <c r="S86" s="82">
        <f>IF(steel!$AH$64=0,calculations!S84,calculations!S85)</f>
        <v>-7.013206886042795</v>
      </c>
      <c r="T86" s="82">
        <f>IF(steel!$AH$64=0,calculations!T84,calculations!T85)</f>
        <v>-7.4052048558519408</v>
      </c>
      <c r="U86" s="82">
        <f>IF(steel!$AH$64=0,calculations!U84,calculations!U85)</f>
        <v>-7.7891223272928682</v>
      </c>
      <c r="V86" s="82">
        <f>IF(steel!$AH$64=0,calculations!V84,calculations!V85)</f>
        <v>-8.1645729135120941</v>
      </c>
      <c r="W86" s="82">
        <f>IF(steel!$AH$64=0,calculations!W84,calculations!W85)</f>
        <v>-8.5311822868016058</v>
      </c>
      <c r="X86" s="82">
        <f>IF(steel!$AH$64=0,calculations!X84,calculations!X85)</f>
        <v>-8.8885881785988747</v>
      </c>
      <c r="Y86" s="82">
        <f>IF(steel!$AH$64=0,calculations!Y84,calculations!Y85)</f>
        <v>-9.2364403794868419</v>
      </c>
      <c r="Z86" s="82">
        <f>IF(steel!$AH$64=0,calculations!Z84,calculations!Z85)</f>
        <v>-9.5744007391939281</v>
      </c>
      <c r="AA86" s="82">
        <f>IF(steel!$AH$64=0,calculations!AA84,calculations!AA85)</f>
        <v>-9.9021431665940334</v>
      </c>
      <c r="AB86" s="82">
        <f>IF(steel!$AH$64=0,calculations!AB84,calculations!AB85)</f>
        <v>-10.219353629706527</v>
      </c>
      <c r="AC86" s="82">
        <f>IF(steel!$AH$64=0,calculations!AC84,calculations!AC85)</f>
        <v>-10.525730155696264</v>
      </c>
      <c r="AD86" s="82">
        <f>IF(steel!$AH$64=0,calculations!AD84,calculations!AD85)</f>
        <v>-10.82098283087357</v>
      </c>
      <c r="AE86" s="82">
        <f>IF(steel!$AH$64=0,calculations!AE84,calculations!AE85)</f>
        <v>-11.104833800694248</v>
      </c>
      <c r="AF86" s="82">
        <f>IF(steel!$AH$64=0,calculations!AF84,calculations!AF85)</f>
        <v>-11.377017269759577</v>
      </c>
      <c r="AG86" s="82">
        <f>IF(steel!$AH$64=0,calculations!AG84,calculations!AG85)</f>
        <v>-11.637279501816316</v>
      </c>
      <c r="AH86" s="82">
        <f>IF(steel!$AH$64=0,calculations!AH84,calculations!AH85)</f>
        <v>-11.885378819756697</v>
      </c>
      <c r="AI86" s="82">
        <f>IF(steel!$AH$64=0,calculations!AI84,calculations!AI85)</f>
        <v>-12.121085605618429</v>
      </c>
      <c r="AJ86" s="82">
        <f>IF(steel!$AH$64=0,calculations!AJ84,calculations!AJ85)</f>
        <v>-12.344182300584698</v>
      </c>
      <c r="AK86" s="82">
        <f>IF(steel!$AH$64=0,calculations!AK84,calculations!AK85)</f>
        <v>-12.554463404984167</v>
      </c>
      <c r="AL86" s="82">
        <f>IF(steel!$AH$64=0,calculations!AL84,calculations!AL85)</f>
        <v>-12.751735478290978</v>
      </c>
      <c r="AM86" s="82">
        <f>IF(steel!$AH$64=0,calculations!AM84,calculations!AM85)</f>
        <v>-12.935817139124742</v>
      </c>
      <c r="AN86" s="82">
        <f>IF(steel!$AH$64=0,calculations!AN84,calculations!AN85)</f>
        <v>-13.10653906525056</v>
      </c>
      <c r="AO86" s="82">
        <f>IF(steel!$AH$64=0,calculations!AO84,calculations!AO85)</f>
        <v>-13.263745469678859</v>
      </c>
      <c r="AP86" s="82">
        <f>IF(steel!$AH$64=0,calculations!AP84,calculations!AP85)</f>
        <v>-13.407326574862509</v>
      </c>
      <c r="AQ86" s="82">
        <f>IF(steel!$AH$64=0,calculations!AQ84,calculations!AQ85)</f>
        <v>-13.537218612696794</v>
      </c>
      <c r="AR86" s="82">
        <f>IF(steel!$AH$64=0,calculations!AR84,calculations!AR85)</f>
        <v>-13.653371350322349</v>
      </c>
      <c r="AS86" s="82">
        <f>IF(steel!$AH$64=0,calculations!AS84,calculations!AS85)</f>
        <v>-13.755746614025282</v>
      </c>
      <c r="AT86" s="82">
        <f>IF(steel!$AH$64=0,calculations!AT84,calculations!AT85)</f>
        <v>-13.844318289237187</v>
      </c>
      <c r="AU86" s="82">
        <f>IF(steel!$AH$64=0,calculations!AU84,calculations!AU85)</f>
        <v>-13.919072320535117</v>
      </c>
      <c r="AV86" s="82">
        <f>IF(steel!$AH$64=0,calculations!AV84,calculations!AV85)</f>
        <v>-13.980006711641614</v>
      </c>
      <c r="AW86" s="82">
        <f>IF(steel!$AH$64=0,calculations!AW84,calculations!AW85)</f>
        <v>-14.027131525424698</v>
      </c>
      <c r="AX86" s="82">
        <f>IF(steel!$AH$64=0,calculations!AX84,calculations!AX85)</f>
        <v>-14.060468883897858</v>
      </c>
      <c r="AY86" s="82">
        <f>IF(steel!$AH$64=0,calculations!AY84,calculations!AY85)</f>
        <v>-14.080052968220061</v>
      </c>
      <c r="AZ86" s="82">
        <f>IF(steel!$AH$64=0,calculations!AZ84,calculations!AZ85)</f>
        <v>-14.085930018695761</v>
      </c>
      <c r="BA86" s="82">
        <f>IF(steel!$AH$64=0,calculations!BA84,calculations!BA85)</f>
        <v>-14.078158334774871</v>
      </c>
      <c r="BB86" s="82">
        <f>IF(steel!$AH$64=0,calculations!BB84,calculations!BB85)</f>
        <v>-14.056808097920808</v>
      </c>
      <c r="BC86" s="82">
        <f>IF(steel!$AH$64=0,calculations!BC84,calculations!BC85)</f>
        <v>-14.021959423158656</v>
      </c>
      <c r="BD86" s="82">
        <f>IF(steel!$AH$64=0,calculations!BD84,calculations!BD85)</f>
        <v>-13.973700410623337</v>
      </c>
      <c r="BE86" s="82">
        <f>IF(steel!$AH$64=0,calculations!BE84,calculations!BE85)</f>
        <v>-13.912126968427637</v>
      </c>
      <c r="BF86" s="82">
        <f>IF(steel!$AH$64=0,calculations!BF84,calculations!BF85)</f>
        <v>-13.837342812662204</v>
      </c>
      <c r="BG86" s="82">
        <f>IF(steel!$AH$64=0,calculations!BG84,calculations!BG85)</f>
        <v>-13.749459467395525</v>
      </c>
      <c r="BH86" s="82">
        <f>IF(steel!$AH$64=0,calculations!BH84,calculations!BH85)</f>
        <v>-13.648596264673966</v>
      </c>
      <c r="BI86" s="82">
        <f>IF(steel!$AH$64=0,calculations!BI84,calculations!BI85)</f>
        <v>-13.534880344521742</v>
      </c>
      <c r="BJ86" s="82">
        <f>IF(steel!$AH$64=0,calculations!BJ84,calculations!BJ85)</f>
        <v>-13.408446654940935</v>
      </c>
      <c r="BK86" s="82">
        <f>IF(steel!$AH$64=0,calculations!BK84,calculations!BK85)</f>
        <v>-13.269437951911467</v>
      </c>
      <c r="BL86" s="82">
        <f>IF(steel!$AH$64=0,calculations!BL84,calculations!BL85)</f>
        <v>-13.118004799391148</v>
      </c>
      <c r="BM86" s="82">
        <f>IF(steel!$AH$64=0,calculations!BM84,calculations!BM85)</f>
        <v>-12.95430556931561</v>
      </c>
      <c r="BN86" s="82">
        <f>IF(steel!$AH$64=0,calculations!BN84,calculations!BN85)</f>
        <v>-12.778506441598372</v>
      </c>
      <c r="BO86" s="82">
        <f>IF(steel!$AH$64=0,calculations!BO84,calculations!BO85)</f>
        <v>-12.590781404130807</v>
      </c>
      <c r="BP86" s="82">
        <f>IF(steel!$AH$64=0,calculations!BP84,calculations!BP85)</f>
        <v>-12.391312252782141</v>
      </c>
      <c r="BQ86" s="82">
        <f>IF(steel!$AH$64=0,calculations!BQ84,calculations!BQ85)</f>
        <v>-12.180288591399448</v>
      </c>
      <c r="BR86" s="82">
        <f>IF(steel!$AH$64=0,calculations!BR84,calculations!BR85)</f>
        <v>-11.957907831807681</v>
      </c>
      <c r="BS86" s="82">
        <f>IF(steel!$AH$64=0,calculations!BS84,calculations!BS85)</f>
        <v>-11.724375193809639</v>
      </c>
      <c r="BT86" s="82">
        <f>IF(steel!$AH$64=0,calculations!BT84,calculations!BT85)</f>
        <v>-11.479903705185992</v>
      </c>
      <c r="BU86" s="82">
        <f>IF(steel!$AH$64=0,calculations!BU84,calculations!BU85)</f>
        <v>-11.224714201695244</v>
      </c>
      <c r="BV86" s="82">
        <f>IF(steel!$AH$64=0,calculations!BV84,calculations!BV85)</f>
        <v>-10.959035327073783</v>
      </c>
      <c r="BW86" s="82">
        <f>IF(steel!$AH$64=0,calculations!BW84,calculations!BW85)</f>
        <v>-10.683103533035839</v>
      </c>
      <c r="BX86" s="82">
        <f>IF(steel!$AH$64=0,calculations!BX84,calculations!BX85)</f>
        <v>-10.397163079273518</v>
      </c>
      <c r="BY86" s="82">
        <f>IF(steel!$AH$64=0,calculations!BY84,calculations!BY85)</f>
        <v>-10.101466033456761</v>
      </c>
      <c r="BZ86" s="82">
        <f>IF(steel!$AH$64=0,calculations!BZ84,calculations!BZ85)</f>
        <v>-9.7962722712333843</v>
      </c>
      <c r="CA86" s="82">
        <f>IF(steel!$AH$64=0,calculations!CA84,calculations!CA85)</f>
        <v>-9.4818494762290602</v>
      </c>
      <c r="CB86" s="82">
        <f>IF(steel!$AH$64=0,calculations!CB84,calculations!CB85)</f>
        <v>-9.1584731400473149</v>
      </c>
      <c r="CC86" s="82">
        <f>IF(steel!$AH$64=0,calculations!CC84,calculations!CC85)</f>
        <v>-8.8264265622695337</v>
      </c>
      <c r="CD86" s="82">
        <f>IF(steel!$AH$64=0,calculations!CD84,calculations!CD85)</f>
        <v>-8.4860008504549729</v>
      </c>
      <c r="CE86" s="82">
        <f>IF(steel!$AH$64=0,calculations!CE84,calculations!CE85)</f>
        <v>-8.1374949201407301</v>
      </c>
      <c r="CF86" s="82">
        <f>IF(steel!$AH$64=0,calculations!CF84,calculations!CF85)</f>
        <v>-7.7812154948417627</v>
      </c>
      <c r="CG86" s="82">
        <f>IF(steel!$AH$64=0,calculations!CG84,calculations!CG85)</f>
        <v>-7.4174771060508906</v>
      </c>
      <c r="CH86" s="82">
        <f>IF(steel!$AH$64=0,calculations!CH84,calculations!CH85)</f>
        <v>-7.0466020932388096</v>
      </c>
      <c r="CI86" s="82">
        <f>IF(steel!$AH$64=0,calculations!CI84,calculations!CI85)</f>
        <v>-6.6689206038540325</v>
      </c>
      <c r="CJ86" s="82">
        <f>IF(steel!$AH$64=0,calculations!CJ84,calculations!CJ85)</f>
        <v>-6.284770593322988</v>
      </c>
      <c r="CK86" s="82">
        <f>IF(steel!$AH$64=0,calculations!CK84,calculations!CK85)</f>
        <v>-5.8944978250499149</v>
      </c>
      <c r="CL86" s="82">
        <f>IF(steel!$AH$64=0,calculations!CL84,calculations!CL85)</f>
        <v>-5.4984558704169144</v>
      </c>
      <c r="CM86" s="82">
        <f>IF(steel!$AH$64=0,calculations!CM84,calculations!CM85)</f>
        <v>-5.0970061087839893</v>
      </c>
      <c r="CN86" s="82">
        <f>IF(steel!$AH$64=0,calculations!CN84,calculations!CN85)</f>
        <v>-4.6905177274889276</v>
      </c>
      <c r="CO86" s="82">
        <f>IF(steel!$AH$64=0,calculations!CO84,calculations!CO85)</f>
        <v>-4.2793677218474633</v>
      </c>
      <c r="CP86" s="82">
        <f>IF(steel!$AH$64=0,calculations!CP84,calculations!CP85)</f>
        <v>-3.8639408951531253</v>
      </c>
      <c r="CQ86" s="82">
        <f>IF(steel!$AH$64=0,calculations!CQ84,calculations!CQ85)</f>
        <v>-3.4446298586773154</v>
      </c>
      <c r="CR86" s="82">
        <f>IF(steel!$AH$64=0,calculations!CR84,calculations!CR85)</f>
        <v>-3.021835031669307</v>
      </c>
      <c r="CS86" s="82">
        <f>IF(steel!$AH$64=0,calculations!CS84,calculations!CS85)</f>
        <v>-2.5959646413562001</v>
      </c>
      <c r="CT86" s="82">
        <f>IF(steel!$AH$64=0,calculations!CT84,calculations!CT85)</f>
        <v>-2.1674347229430051</v>
      </c>
      <c r="CU86" s="82">
        <f>IF(steel!$AH$64=0,calculations!CU84,calculations!CU85)</f>
        <v>-1.7366691196125656</v>
      </c>
      <c r="CV86" s="82">
        <f>IF(steel!$AH$64=0,calculations!CV84,calculations!CV85)</f>
        <v>-1.3040994825255448</v>
      </c>
      <c r="CW86" s="82">
        <f>IF(steel!$AH$64=0,calculations!CW84,calculations!CW85)</f>
        <v>-0.87016527082054684</v>
      </c>
      <c r="CX86" s="82">
        <f>IF(steel!$AH$64=0,calculations!CX84,calculations!CX85)</f>
        <v>-0.43531375161394859</v>
      </c>
      <c r="CY86" s="82">
        <f>IF(steel!$AH$64=0,calculations!CY84,calculations!CY85)</f>
        <v>0</v>
      </c>
    </row>
    <row r="87" spans="1:105">
      <c r="B87" s="79"/>
      <c r="C87" s="107"/>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row>
    <row r="89" spans="1:105">
      <c r="B89" s="69"/>
      <c r="C89" s="69" t="s">
        <v>202</v>
      </c>
    </row>
    <row r="91" spans="1:105">
      <c r="B91" s="79" t="s">
        <v>216</v>
      </c>
      <c r="C91" s="79" t="s">
        <v>327</v>
      </c>
      <c r="D91" s="79" t="s">
        <v>60</v>
      </c>
      <c r="E91" s="79" t="s">
        <v>61</v>
      </c>
      <c r="F91" s="79" t="s">
        <v>62</v>
      </c>
      <c r="G91" s="79" t="s">
        <v>63</v>
      </c>
      <c r="H91" s="79" t="s">
        <v>64</v>
      </c>
      <c r="I91" s="79" t="s">
        <v>65</v>
      </c>
      <c r="J91" s="79" t="s">
        <v>66</v>
      </c>
      <c r="K91" s="79" t="s">
        <v>247</v>
      </c>
      <c r="L91" s="79" t="s">
        <v>248</v>
      </c>
      <c r="M91" s="79" t="s">
        <v>67</v>
      </c>
      <c r="N91" s="79" t="s">
        <v>68</v>
      </c>
      <c r="O91" s="79" t="s">
        <v>69</v>
      </c>
      <c r="P91" s="79" t="s">
        <v>70</v>
      </c>
      <c r="Q91" s="79" t="s">
        <v>71</v>
      </c>
      <c r="R91" s="79" t="s">
        <v>72</v>
      </c>
      <c r="S91" s="79" t="s">
        <v>73</v>
      </c>
      <c r="T91" s="79" t="s">
        <v>74</v>
      </c>
      <c r="U91" s="79" t="s">
        <v>75</v>
      </c>
      <c r="V91" s="79" t="s">
        <v>76</v>
      </c>
      <c r="W91" s="79" t="s">
        <v>77</v>
      </c>
      <c r="X91" s="79" t="s">
        <v>78</v>
      </c>
      <c r="Y91" s="79" t="s">
        <v>79</v>
      </c>
    </row>
    <row r="92" spans="1:105">
      <c r="A92" s="108" t="s">
        <v>203</v>
      </c>
      <c r="B92" s="48">
        <v>1</v>
      </c>
      <c r="C92" s="79" t="s">
        <v>355</v>
      </c>
      <c r="D92" s="150">
        <v>584</v>
      </c>
      <c r="E92" s="150">
        <v>1056</v>
      </c>
      <c r="F92" s="150">
        <v>314</v>
      </c>
      <c r="G92" s="150">
        <v>36</v>
      </c>
      <c r="H92" s="150">
        <v>64</v>
      </c>
      <c r="I92" s="150">
        <v>30</v>
      </c>
      <c r="J92" s="150">
        <v>868.1</v>
      </c>
      <c r="K92" s="150">
        <v>2.4500000000000002</v>
      </c>
      <c r="L92" s="150">
        <v>24.11</v>
      </c>
      <c r="M92" s="150">
        <v>1246000</v>
      </c>
      <c r="N92" s="150">
        <v>33400</v>
      </c>
      <c r="O92" s="150">
        <v>40.9</v>
      </c>
      <c r="P92" s="150">
        <v>6.7</v>
      </c>
      <c r="Q92" s="150">
        <v>23600</v>
      </c>
      <c r="R92" s="150">
        <v>2130</v>
      </c>
      <c r="S92" s="150">
        <v>28000</v>
      </c>
      <c r="T92" s="150">
        <v>3480</v>
      </c>
      <c r="U92" s="150">
        <v>0.86899999999999999</v>
      </c>
      <c r="V92" s="150">
        <v>18</v>
      </c>
      <c r="W92" s="150">
        <v>81.2</v>
      </c>
      <c r="X92" s="150">
        <v>7150</v>
      </c>
      <c r="Y92" s="151">
        <v>744</v>
      </c>
    </row>
    <row r="93" spans="1:105">
      <c r="B93" s="48">
        <v>2</v>
      </c>
      <c r="C93" s="79" t="s">
        <v>356</v>
      </c>
      <c r="D93" s="150">
        <v>494</v>
      </c>
      <c r="E93" s="150">
        <v>1036</v>
      </c>
      <c r="F93" s="150">
        <v>309</v>
      </c>
      <c r="G93" s="150">
        <v>31</v>
      </c>
      <c r="H93" s="150">
        <v>54</v>
      </c>
      <c r="I93" s="150">
        <v>30</v>
      </c>
      <c r="J93" s="150">
        <v>868.1</v>
      </c>
      <c r="K93" s="150">
        <v>2.86</v>
      </c>
      <c r="L93" s="150">
        <v>28</v>
      </c>
      <c r="M93" s="150">
        <v>1028000</v>
      </c>
      <c r="N93" s="150">
        <v>26800</v>
      </c>
      <c r="O93" s="150">
        <v>40.4</v>
      </c>
      <c r="P93" s="150">
        <v>6.53</v>
      </c>
      <c r="Q93" s="150">
        <v>19800</v>
      </c>
      <c r="R93" s="150">
        <v>1740</v>
      </c>
      <c r="S93" s="150">
        <v>23400</v>
      </c>
      <c r="T93" s="150">
        <v>2820</v>
      </c>
      <c r="U93" s="150">
        <v>0.86699999999999999</v>
      </c>
      <c r="V93" s="150">
        <v>20.9</v>
      </c>
      <c r="W93" s="150">
        <v>64</v>
      </c>
      <c r="X93" s="150">
        <v>4400</v>
      </c>
      <c r="Y93" s="151">
        <v>629</v>
      </c>
    </row>
    <row r="94" spans="1:105">
      <c r="B94" s="48">
        <v>3</v>
      </c>
      <c r="C94" s="79" t="s">
        <v>357</v>
      </c>
      <c r="D94" s="150">
        <v>438</v>
      </c>
      <c r="E94" s="150">
        <v>1026</v>
      </c>
      <c r="F94" s="150">
        <v>305</v>
      </c>
      <c r="G94" s="150">
        <v>26.9</v>
      </c>
      <c r="H94" s="150">
        <v>49</v>
      </c>
      <c r="I94" s="150">
        <v>30</v>
      </c>
      <c r="J94" s="150">
        <v>868.1</v>
      </c>
      <c r="K94" s="150">
        <v>3.11</v>
      </c>
      <c r="L94" s="150">
        <v>32.270000000000003</v>
      </c>
      <c r="M94" s="150">
        <v>910000</v>
      </c>
      <c r="N94" s="150">
        <v>23400</v>
      </c>
      <c r="O94" s="150">
        <v>40.4</v>
      </c>
      <c r="P94" s="150">
        <v>6.49</v>
      </c>
      <c r="Q94" s="150">
        <v>17700</v>
      </c>
      <c r="R94" s="150">
        <v>1540</v>
      </c>
      <c r="S94" s="150">
        <v>20800</v>
      </c>
      <c r="T94" s="150">
        <v>2470</v>
      </c>
      <c r="U94" s="150">
        <v>0.86899999999999999</v>
      </c>
      <c r="V94" s="150">
        <v>23.1</v>
      </c>
      <c r="W94" s="150">
        <v>56</v>
      </c>
      <c r="X94" s="150">
        <v>3190</v>
      </c>
      <c r="Y94" s="151">
        <v>556</v>
      </c>
    </row>
    <row r="95" spans="1:105">
      <c r="B95" s="48">
        <v>4</v>
      </c>
      <c r="C95" s="79" t="s">
        <v>358</v>
      </c>
      <c r="D95" s="150">
        <v>415</v>
      </c>
      <c r="E95" s="150">
        <v>1020</v>
      </c>
      <c r="F95" s="150">
        <v>304</v>
      </c>
      <c r="G95" s="150">
        <v>26</v>
      </c>
      <c r="H95" s="150">
        <v>46</v>
      </c>
      <c r="I95" s="150">
        <v>30</v>
      </c>
      <c r="J95" s="150">
        <v>868.1</v>
      </c>
      <c r="K95" s="150">
        <v>3.3</v>
      </c>
      <c r="L95" s="150">
        <v>33.39</v>
      </c>
      <c r="M95" s="150">
        <v>853000</v>
      </c>
      <c r="N95" s="150">
        <v>21700</v>
      </c>
      <c r="O95" s="150">
        <v>40.200000000000003</v>
      </c>
      <c r="P95" s="150">
        <v>6.41</v>
      </c>
      <c r="Q95" s="150">
        <v>16700</v>
      </c>
      <c r="R95" s="150">
        <v>1430</v>
      </c>
      <c r="S95" s="150">
        <v>19600</v>
      </c>
      <c r="T95" s="150">
        <v>2300</v>
      </c>
      <c r="U95" s="150">
        <v>0.86799999999999999</v>
      </c>
      <c r="V95" s="150">
        <v>24.3</v>
      </c>
      <c r="W95" s="150">
        <v>51.1</v>
      </c>
      <c r="X95" s="150">
        <v>2700</v>
      </c>
      <c r="Y95" s="151">
        <v>529</v>
      </c>
    </row>
    <row r="96" spans="1:105">
      <c r="B96" s="48">
        <v>5</v>
      </c>
      <c r="C96" s="79" t="s">
        <v>306</v>
      </c>
      <c r="D96" s="150">
        <v>392.7</v>
      </c>
      <c r="E96" s="150">
        <v>1015.9</v>
      </c>
      <c r="F96" s="150">
        <v>303</v>
      </c>
      <c r="G96" s="150">
        <v>24.4</v>
      </c>
      <c r="H96" s="150">
        <v>43.9</v>
      </c>
      <c r="I96" s="150">
        <v>30</v>
      </c>
      <c r="J96" s="150">
        <v>868.1</v>
      </c>
      <c r="K96" s="150">
        <v>3.45</v>
      </c>
      <c r="L96" s="150">
        <v>35.58</v>
      </c>
      <c r="M96" s="150">
        <v>808000</v>
      </c>
      <c r="N96" s="150">
        <v>20500</v>
      </c>
      <c r="O96" s="150">
        <v>40.200000000000003</v>
      </c>
      <c r="P96" s="150">
        <v>6.4</v>
      </c>
      <c r="Q96" s="150">
        <v>15900</v>
      </c>
      <c r="R96" s="150">
        <v>1350</v>
      </c>
      <c r="S96" s="150">
        <v>18500</v>
      </c>
      <c r="T96" s="150">
        <v>2170</v>
      </c>
      <c r="U96" s="150">
        <v>0.86699999999999999</v>
      </c>
      <c r="V96" s="150">
        <v>25.5</v>
      </c>
      <c r="W96" s="150">
        <v>48.4</v>
      </c>
      <c r="X96" s="150">
        <v>2330</v>
      </c>
      <c r="Y96" s="151">
        <v>500</v>
      </c>
    </row>
    <row r="97" spans="1:25">
      <c r="B97" s="48">
        <v>6</v>
      </c>
      <c r="C97" s="79" t="s">
        <v>359</v>
      </c>
      <c r="D97" s="150">
        <v>350</v>
      </c>
      <c r="E97" s="150">
        <v>1008</v>
      </c>
      <c r="F97" s="150">
        <v>302</v>
      </c>
      <c r="G97" s="150">
        <v>21.1</v>
      </c>
      <c r="H97" s="150">
        <v>40</v>
      </c>
      <c r="I97" s="150">
        <v>30</v>
      </c>
      <c r="J97" s="150">
        <v>868.1</v>
      </c>
      <c r="K97" s="150">
        <v>3.78</v>
      </c>
      <c r="L97" s="150">
        <v>41.14</v>
      </c>
      <c r="M97" s="150">
        <v>723000</v>
      </c>
      <c r="N97" s="150">
        <v>18500</v>
      </c>
      <c r="O97" s="150">
        <v>40.299999999999997</v>
      </c>
      <c r="P97" s="150">
        <v>6.44</v>
      </c>
      <c r="Q97" s="150">
        <v>14300</v>
      </c>
      <c r="R97" s="150">
        <v>1220</v>
      </c>
      <c r="S97" s="150">
        <v>16600</v>
      </c>
      <c r="T97" s="150">
        <v>1940</v>
      </c>
      <c r="U97" s="150">
        <v>0.872</v>
      </c>
      <c r="V97" s="150">
        <v>27.8</v>
      </c>
      <c r="W97" s="150">
        <v>43.3</v>
      </c>
      <c r="X97" s="150">
        <v>1720</v>
      </c>
      <c r="Y97" s="151">
        <v>445</v>
      </c>
    </row>
    <row r="98" spans="1:25">
      <c r="B98" s="48">
        <v>7</v>
      </c>
      <c r="C98" s="79" t="s">
        <v>307</v>
      </c>
      <c r="D98" s="150">
        <v>314.3</v>
      </c>
      <c r="E98" s="150">
        <v>999.9</v>
      </c>
      <c r="F98" s="150">
        <v>300</v>
      </c>
      <c r="G98" s="150">
        <v>19.100000000000001</v>
      </c>
      <c r="H98" s="150">
        <v>35.9</v>
      </c>
      <c r="I98" s="150">
        <v>30</v>
      </c>
      <c r="J98" s="150">
        <v>868.1</v>
      </c>
      <c r="K98" s="150">
        <v>4.18</v>
      </c>
      <c r="L98" s="150">
        <v>45.45</v>
      </c>
      <c r="M98" s="150">
        <v>644000</v>
      </c>
      <c r="N98" s="150">
        <v>16200</v>
      </c>
      <c r="O98" s="150">
        <v>40.1</v>
      </c>
      <c r="P98" s="150">
        <v>6.37</v>
      </c>
      <c r="Q98" s="150">
        <v>12900</v>
      </c>
      <c r="R98" s="150">
        <v>1080</v>
      </c>
      <c r="S98" s="150">
        <v>14800</v>
      </c>
      <c r="T98" s="150">
        <v>1710</v>
      </c>
      <c r="U98" s="150">
        <v>0.87</v>
      </c>
      <c r="V98" s="150">
        <v>30.7</v>
      </c>
      <c r="W98" s="150">
        <v>37.700000000000003</v>
      </c>
      <c r="X98" s="150">
        <v>1260</v>
      </c>
      <c r="Y98" s="151">
        <v>400</v>
      </c>
    </row>
    <row r="99" spans="1:25">
      <c r="B99" s="48">
        <v>8</v>
      </c>
      <c r="C99" s="79" t="s">
        <v>308</v>
      </c>
      <c r="D99" s="150">
        <v>272.3</v>
      </c>
      <c r="E99" s="150">
        <v>990.1</v>
      </c>
      <c r="F99" s="150">
        <v>300</v>
      </c>
      <c r="G99" s="150">
        <v>16.5</v>
      </c>
      <c r="H99" s="150">
        <v>31</v>
      </c>
      <c r="I99" s="150">
        <v>30</v>
      </c>
      <c r="J99" s="150">
        <v>868.1</v>
      </c>
      <c r="K99" s="150">
        <v>4.84</v>
      </c>
      <c r="L99" s="150">
        <v>52.61</v>
      </c>
      <c r="M99" s="150">
        <v>554000</v>
      </c>
      <c r="N99" s="150">
        <v>14000</v>
      </c>
      <c r="O99" s="150">
        <v>40</v>
      </c>
      <c r="P99" s="150">
        <v>6.35</v>
      </c>
      <c r="Q99" s="150">
        <v>11200</v>
      </c>
      <c r="R99" s="150">
        <v>934</v>
      </c>
      <c r="S99" s="150">
        <v>12800</v>
      </c>
      <c r="T99" s="150">
        <v>1470</v>
      </c>
      <c r="U99" s="150">
        <v>0.871</v>
      </c>
      <c r="V99" s="150">
        <v>35</v>
      </c>
      <c r="W99" s="150">
        <v>32.200000000000003</v>
      </c>
      <c r="X99" s="150">
        <v>835</v>
      </c>
      <c r="Y99" s="151">
        <v>347</v>
      </c>
    </row>
    <row r="100" spans="1:25">
      <c r="A100" s="108"/>
      <c r="B100" s="48">
        <v>9</v>
      </c>
      <c r="C100" s="79" t="s">
        <v>309</v>
      </c>
      <c r="D100" s="151">
        <v>248.7</v>
      </c>
      <c r="E100" s="151">
        <v>980.1</v>
      </c>
      <c r="F100" s="151">
        <v>300</v>
      </c>
      <c r="G100" s="151">
        <v>16.5</v>
      </c>
      <c r="H100" s="151">
        <v>26</v>
      </c>
      <c r="I100" s="151">
        <v>30</v>
      </c>
      <c r="J100" s="151">
        <v>868.1</v>
      </c>
      <c r="K100" s="151">
        <v>5.77</v>
      </c>
      <c r="L100" s="151">
        <v>52.61</v>
      </c>
      <c r="M100" s="151">
        <v>481000</v>
      </c>
      <c r="N100" s="151">
        <v>11800</v>
      </c>
      <c r="O100" s="151">
        <v>39</v>
      </c>
      <c r="P100" s="151">
        <v>6.09</v>
      </c>
      <c r="Q100" s="151">
        <v>9820</v>
      </c>
      <c r="R100" s="151">
        <v>784</v>
      </c>
      <c r="S100" s="151">
        <v>11300</v>
      </c>
      <c r="T100" s="151">
        <v>1240</v>
      </c>
      <c r="U100" s="151">
        <v>0.86</v>
      </c>
      <c r="V100" s="151">
        <v>39.799999999999997</v>
      </c>
      <c r="W100" s="151">
        <v>26.8</v>
      </c>
      <c r="X100" s="151">
        <v>582</v>
      </c>
      <c r="Y100" s="151">
        <v>317</v>
      </c>
    </row>
    <row r="101" spans="1:25">
      <c r="B101" s="48">
        <v>10</v>
      </c>
      <c r="C101" s="79" t="s">
        <v>310</v>
      </c>
      <c r="D101" s="151">
        <v>222</v>
      </c>
      <c r="E101" s="151">
        <v>970.3</v>
      </c>
      <c r="F101" s="151">
        <v>300</v>
      </c>
      <c r="G101" s="151">
        <v>16</v>
      </c>
      <c r="H101" s="151">
        <v>21.1</v>
      </c>
      <c r="I101" s="151">
        <v>30</v>
      </c>
      <c r="J101" s="151">
        <v>868.1</v>
      </c>
      <c r="K101" s="151">
        <v>7.11</v>
      </c>
      <c r="L101" s="151">
        <v>54.26</v>
      </c>
      <c r="M101" s="151">
        <v>408000</v>
      </c>
      <c r="N101" s="151">
        <v>9550</v>
      </c>
      <c r="O101" s="151">
        <v>38</v>
      </c>
      <c r="P101" s="151">
        <v>5.81</v>
      </c>
      <c r="Q101" s="151">
        <v>8410</v>
      </c>
      <c r="R101" s="151">
        <v>636</v>
      </c>
      <c r="S101" s="151">
        <v>9810</v>
      </c>
      <c r="T101" s="151">
        <v>1020</v>
      </c>
      <c r="U101" s="151">
        <v>0.85</v>
      </c>
      <c r="V101" s="151">
        <v>45.7</v>
      </c>
      <c r="W101" s="151">
        <v>21.5</v>
      </c>
      <c r="X101" s="151">
        <v>390</v>
      </c>
      <c r="Y101" s="151">
        <v>283</v>
      </c>
    </row>
    <row r="102" spans="1:25">
      <c r="B102" s="48">
        <v>11</v>
      </c>
      <c r="C102" s="79" t="s">
        <v>80</v>
      </c>
      <c r="D102" s="151">
        <v>388</v>
      </c>
      <c r="E102" s="151">
        <v>921</v>
      </c>
      <c r="F102" s="151">
        <v>420.5</v>
      </c>
      <c r="G102" s="151">
        <v>21.4</v>
      </c>
      <c r="H102" s="151">
        <v>36.6</v>
      </c>
      <c r="I102" s="151">
        <v>24.1</v>
      </c>
      <c r="J102" s="151">
        <v>799.6</v>
      </c>
      <c r="K102" s="151">
        <v>5.74</v>
      </c>
      <c r="L102" s="151">
        <v>37.36</v>
      </c>
      <c r="M102" s="151">
        <v>720000</v>
      </c>
      <c r="N102" s="151">
        <v>45400</v>
      </c>
      <c r="O102" s="151">
        <v>38.200000000000003</v>
      </c>
      <c r="P102" s="151">
        <v>9.59</v>
      </c>
      <c r="Q102" s="151">
        <v>15600</v>
      </c>
      <c r="R102" s="151">
        <v>2160</v>
      </c>
      <c r="S102" s="151">
        <v>17700</v>
      </c>
      <c r="T102" s="151">
        <v>3340</v>
      </c>
      <c r="U102" s="151">
        <v>0.88500000000000001</v>
      </c>
      <c r="V102" s="151">
        <v>26.7</v>
      </c>
      <c r="W102" s="151">
        <v>88.9</v>
      </c>
      <c r="X102" s="151">
        <v>1730</v>
      </c>
      <c r="Y102" s="151">
        <v>494</v>
      </c>
    </row>
    <row r="103" spans="1:25">
      <c r="B103" s="48">
        <v>12</v>
      </c>
      <c r="C103" s="79" t="s">
        <v>81</v>
      </c>
      <c r="D103" s="151">
        <v>343.3</v>
      </c>
      <c r="E103" s="151">
        <v>911.8</v>
      </c>
      <c r="F103" s="151">
        <v>418.5</v>
      </c>
      <c r="G103" s="151">
        <v>19.399999999999999</v>
      </c>
      <c r="H103" s="151">
        <v>32</v>
      </c>
      <c r="I103" s="151">
        <v>24.1</v>
      </c>
      <c r="J103" s="151">
        <v>799.6</v>
      </c>
      <c r="K103" s="151">
        <v>6.54</v>
      </c>
      <c r="L103" s="151">
        <v>41.22</v>
      </c>
      <c r="M103" s="151">
        <v>626000</v>
      </c>
      <c r="N103" s="151">
        <v>39200</v>
      </c>
      <c r="O103" s="151">
        <v>37.799999999999997</v>
      </c>
      <c r="P103" s="151">
        <v>9.4600000000000009</v>
      </c>
      <c r="Q103" s="151">
        <v>13700</v>
      </c>
      <c r="R103" s="151">
        <v>1870</v>
      </c>
      <c r="S103" s="151">
        <v>15500</v>
      </c>
      <c r="T103" s="151">
        <v>2890</v>
      </c>
      <c r="U103" s="151">
        <v>0.88400000000000001</v>
      </c>
      <c r="V103" s="151">
        <v>30.1</v>
      </c>
      <c r="W103" s="151">
        <v>75.8</v>
      </c>
      <c r="X103" s="151">
        <v>1190</v>
      </c>
      <c r="Y103" s="151">
        <v>437</v>
      </c>
    </row>
    <row r="104" spans="1:25">
      <c r="B104" s="48">
        <v>13</v>
      </c>
      <c r="C104" s="79" t="s">
        <v>360</v>
      </c>
      <c r="D104" s="151">
        <v>576</v>
      </c>
      <c r="E104" s="151">
        <v>993</v>
      </c>
      <c r="F104" s="151">
        <v>322</v>
      </c>
      <c r="G104" s="151">
        <v>36.1</v>
      </c>
      <c r="H104" s="151">
        <v>65</v>
      </c>
      <c r="I104" s="151">
        <v>19</v>
      </c>
      <c r="J104" s="151">
        <v>824.8</v>
      </c>
      <c r="K104" s="151">
        <v>2.48</v>
      </c>
      <c r="L104" s="151">
        <v>22.85</v>
      </c>
      <c r="M104" s="151">
        <v>1102000</v>
      </c>
      <c r="N104" s="151">
        <v>36500</v>
      </c>
      <c r="O104" s="151">
        <v>38.799999999999997</v>
      </c>
      <c r="P104" s="151">
        <v>7.06</v>
      </c>
      <c r="Q104" s="151">
        <v>22200</v>
      </c>
      <c r="R104" s="151">
        <v>2270</v>
      </c>
      <c r="S104" s="151">
        <v>26300</v>
      </c>
      <c r="T104" s="151">
        <v>3660</v>
      </c>
      <c r="U104" s="151">
        <v>0.874</v>
      </c>
      <c r="V104" s="151">
        <v>16.8</v>
      </c>
      <c r="W104" s="151">
        <v>77.900000000000006</v>
      </c>
      <c r="X104" s="151">
        <v>7130</v>
      </c>
      <c r="Y104" s="151">
        <v>733</v>
      </c>
    </row>
    <row r="105" spans="1:25">
      <c r="B105" s="48">
        <v>14</v>
      </c>
      <c r="C105" s="79" t="s">
        <v>361</v>
      </c>
      <c r="D105" s="151">
        <v>521</v>
      </c>
      <c r="E105" s="151">
        <v>981</v>
      </c>
      <c r="F105" s="151">
        <v>319</v>
      </c>
      <c r="G105" s="151">
        <v>33</v>
      </c>
      <c r="H105" s="151">
        <v>58.9</v>
      </c>
      <c r="I105" s="151">
        <v>19</v>
      </c>
      <c r="J105" s="151">
        <v>824.8</v>
      </c>
      <c r="K105" s="151">
        <v>2.71</v>
      </c>
      <c r="L105" s="151">
        <v>24.99</v>
      </c>
      <c r="M105" s="151">
        <v>982000</v>
      </c>
      <c r="N105" s="151">
        <v>32100</v>
      </c>
      <c r="O105" s="151">
        <v>38.5</v>
      </c>
      <c r="P105" s="151">
        <v>6.96</v>
      </c>
      <c r="Q105" s="151">
        <v>20000</v>
      </c>
      <c r="R105" s="151">
        <v>2020</v>
      </c>
      <c r="S105" s="151">
        <v>23600</v>
      </c>
      <c r="T105" s="151">
        <v>3240</v>
      </c>
      <c r="U105" s="151">
        <v>0.873</v>
      </c>
      <c r="V105" s="151">
        <v>18.3</v>
      </c>
      <c r="W105" s="151">
        <v>67.7</v>
      </c>
      <c r="X105" s="151">
        <v>5340</v>
      </c>
      <c r="Y105" s="151">
        <v>664</v>
      </c>
    </row>
    <row r="106" spans="1:25">
      <c r="B106" s="48">
        <v>15</v>
      </c>
      <c r="C106" s="79" t="s">
        <v>362</v>
      </c>
      <c r="D106" s="151">
        <v>474</v>
      </c>
      <c r="E106" s="151">
        <v>971</v>
      </c>
      <c r="F106" s="151">
        <v>316</v>
      </c>
      <c r="G106" s="151">
        <v>30</v>
      </c>
      <c r="H106" s="151">
        <v>54.1</v>
      </c>
      <c r="I106" s="151">
        <v>19</v>
      </c>
      <c r="J106" s="151">
        <v>824.8</v>
      </c>
      <c r="K106" s="151">
        <v>2.92</v>
      </c>
      <c r="L106" s="151">
        <v>27.49</v>
      </c>
      <c r="M106" s="151">
        <v>886000</v>
      </c>
      <c r="N106" s="151">
        <v>28700</v>
      </c>
      <c r="O106" s="151">
        <v>38.299999999999997</v>
      </c>
      <c r="P106" s="151">
        <v>6.89</v>
      </c>
      <c r="Q106" s="151">
        <v>18200</v>
      </c>
      <c r="R106" s="151">
        <v>1810</v>
      </c>
      <c r="S106" s="151">
        <v>21400</v>
      </c>
      <c r="T106" s="151">
        <v>2900</v>
      </c>
      <c r="U106" s="151">
        <v>0.873</v>
      </c>
      <c r="V106" s="151">
        <v>19.8</v>
      </c>
      <c r="W106" s="151">
        <v>59.8</v>
      </c>
      <c r="X106" s="151">
        <v>4100</v>
      </c>
      <c r="Y106" s="151">
        <v>604</v>
      </c>
    </row>
    <row r="107" spans="1:25">
      <c r="B107" s="48">
        <v>16</v>
      </c>
      <c r="C107" s="79" t="s">
        <v>363</v>
      </c>
      <c r="D107" s="151">
        <v>425</v>
      </c>
      <c r="E107" s="151">
        <v>961</v>
      </c>
      <c r="F107" s="151">
        <v>313</v>
      </c>
      <c r="G107" s="151">
        <v>26.9</v>
      </c>
      <c r="H107" s="151">
        <v>49</v>
      </c>
      <c r="I107" s="151">
        <v>19</v>
      </c>
      <c r="J107" s="151">
        <v>824.8</v>
      </c>
      <c r="K107" s="151">
        <v>3.19</v>
      </c>
      <c r="L107" s="151">
        <v>30.66</v>
      </c>
      <c r="M107" s="151">
        <v>788000</v>
      </c>
      <c r="N107" s="151">
        <v>25200</v>
      </c>
      <c r="O107" s="151">
        <v>38.1</v>
      </c>
      <c r="P107" s="151">
        <v>6.82</v>
      </c>
      <c r="Q107" s="151">
        <v>16400</v>
      </c>
      <c r="R107" s="151">
        <v>1610</v>
      </c>
      <c r="S107" s="151">
        <v>19100</v>
      </c>
      <c r="T107" s="151">
        <v>2560</v>
      </c>
      <c r="U107" s="151">
        <v>0.874</v>
      </c>
      <c r="V107" s="151">
        <v>21.8</v>
      </c>
      <c r="W107" s="151">
        <v>52.1</v>
      </c>
      <c r="X107" s="151">
        <v>3030</v>
      </c>
      <c r="Y107" s="151">
        <v>542</v>
      </c>
    </row>
    <row r="108" spans="1:25">
      <c r="B108" s="48">
        <v>17</v>
      </c>
      <c r="C108" s="79" t="s">
        <v>364</v>
      </c>
      <c r="D108" s="151">
        <v>381</v>
      </c>
      <c r="E108" s="151">
        <v>951</v>
      </c>
      <c r="F108" s="151">
        <v>310</v>
      </c>
      <c r="G108" s="151">
        <v>24.4</v>
      </c>
      <c r="H108" s="151">
        <v>43.9</v>
      </c>
      <c r="I108" s="151">
        <v>19</v>
      </c>
      <c r="J108" s="151">
        <v>824.8</v>
      </c>
      <c r="K108" s="151">
        <v>3.53</v>
      </c>
      <c r="L108" s="151">
        <v>33.799999999999997</v>
      </c>
      <c r="M108" s="151">
        <v>697000</v>
      </c>
      <c r="N108" s="151">
        <v>21900</v>
      </c>
      <c r="O108" s="151">
        <v>37.9</v>
      </c>
      <c r="P108" s="151">
        <v>6.72</v>
      </c>
      <c r="Q108" s="151">
        <v>14600</v>
      </c>
      <c r="R108" s="151">
        <v>1410</v>
      </c>
      <c r="S108" s="151">
        <v>17000</v>
      </c>
      <c r="T108" s="151">
        <v>2240</v>
      </c>
      <c r="U108" s="151">
        <v>0.873</v>
      </c>
      <c r="V108" s="151">
        <v>24.1</v>
      </c>
      <c r="W108" s="151">
        <v>44.8</v>
      </c>
      <c r="X108" s="151">
        <v>2200</v>
      </c>
      <c r="Y108" s="151">
        <v>486</v>
      </c>
    </row>
    <row r="109" spans="1:25">
      <c r="B109" s="48">
        <v>18</v>
      </c>
      <c r="C109" s="79" t="s">
        <v>365</v>
      </c>
      <c r="D109" s="151">
        <v>345</v>
      </c>
      <c r="E109" s="151">
        <v>943</v>
      </c>
      <c r="F109" s="151">
        <v>308</v>
      </c>
      <c r="G109" s="151">
        <v>22.1</v>
      </c>
      <c r="H109" s="151">
        <v>39.9</v>
      </c>
      <c r="I109" s="151">
        <v>19</v>
      </c>
      <c r="J109" s="151">
        <v>824.8</v>
      </c>
      <c r="K109" s="151">
        <v>3.86</v>
      </c>
      <c r="L109" s="151">
        <v>37.32</v>
      </c>
      <c r="M109" s="151">
        <v>626000</v>
      </c>
      <c r="N109" s="151">
        <v>19500</v>
      </c>
      <c r="O109" s="151">
        <v>37.700000000000003</v>
      </c>
      <c r="P109" s="151">
        <v>6.66</v>
      </c>
      <c r="Q109" s="151">
        <v>13300</v>
      </c>
      <c r="R109" s="151">
        <v>1270</v>
      </c>
      <c r="S109" s="151">
        <v>15400</v>
      </c>
      <c r="T109" s="151">
        <v>2000</v>
      </c>
      <c r="U109" s="151">
        <v>0.873</v>
      </c>
      <c r="V109" s="151">
        <v>26.3</v>
      </c>
      <c r="W109" s="151">
        <v>39.6</v>
      </c>
      <c r="X109" s="151">
        <v>1650</v>
      </c>
      <c r="Y109" s="151">
        <v>440</v>
      </c>
    </row>
    <row r="110" spans="1:25">
      <c r="B110" s="48">
        <v>19</v>
      </c>
      <c r="C110" s="79" t="s">
        <v>366</v>
      </c>
      <c r="D110" s="151">
        <v>313</v>
      </c>
      <c r="E110" s="151">
        <v>932</v>
      </c>
      <c r="F110" s="151">
        <v>309</v>
      </c>
      <c r="G110" s="151">
        <v>21.1</v>
      </c>
      <c r="H110" s="151">
        <v>34.5</v>
      </c>
      <c r="I110" s="151">
        <v>19</v>
      </c>
      <c r="J110" s="151">
        <v>824.8</v>
      </c>
      <c r="K110" s="151">
        <v>4.4800000000000004</v>
      </c>
      <c r="L110" s="151">
        <v>39.090000000000003</v>
      </c>
      <c r="M110" s="151">
        <v>548000</v>
      </c>
      <c r="N110" s="151">
        <v>17000</v>
      </c>
      <c r="O110" s="151">
        <v>37.1</v>
      </c>
      <c r="P110" s="151">
        <v>6.54</v>
      </c>
      <c r="Q110" s="151">
        <v>11800</v>
      </c>
      <c r="R110" s="151">
        <v>1100</v>
      </c>
      <c r="S110" s="151">
        <v>13600</v>
      </c>
      <c r="T110" s="151">
        <v>1750</v>
      </c>
      <c r="U110" s="151">
        <v>0.86699999999999999</v>
      </c>
      <c r="V110" s="151">
        <v>29.7</v>
      </c>
      <c r="W110" s="151">
        <v>34.200000000000003</v>
      </c>
      <c r="X110" s="151">
        <v>1160</v>
      </c>
      <c r="Y110" s="151">
        <v>398</v>
      </c>
    </row>
    <row r="111" spans="1:25">
      <c r="B111" s="48">
        <v>20</v>
      </c>
      <c r="C111" s="79" t="s">
        <v>82</v>
      </c>
      <c r="D111" s="151">
        <v>289.10000000000002</v>
      </c>
      <c r="E111" s="151">
        <v>926.6</v>
      </c>
      <c r="F111" s="151">
        <v>307.7</v>
      </c>
      <c r="G111" s="151">
        <v>19.5</v>
      </c>
      <c r="H111" s="151">
        <v>32</v>
      </c>
      <c r="I111" s="151">
        <v>19.100000000000001</v>
      </c>
      <c r="J111" s="151">
        <v>824.4</v>
      </c>
      <c r="K111" s="151">
        <v>4.8099999999999996</v>
      </c>
      <c r="L111" s="151">
        <v>42.28</v>
      </c>
      <c r="M111" s="151">
        <v>504000</v>
      </c>
      <c r="N111" s="151">
        <v>15600</v>
      </c>
      <c r="O111" s="151">
        <v>37</v>
      </c>
      <c r="P111" s="151">
        <v>6.51</v>
      </c>
      <c r="Q111" s="151">
        <v>10900</v>
      </c>
      <c r="R111" s="151">
        <v>1010</v>
      </c>
      <c r="S111" s="151">
        <v>12600</v>
      </c>
      <c r="T111" s="151">
        <v>1600</v>
      </c>
      <c r="U111" s="151">
        <v>0.86799999999999999</v>
      </c>
      <c r="V111" s="151">
        <v>31.9</v>
      </c>
      <c r="W111" s="151">
        <v>31.2</v>
      </c>
      <c r="X111" s="151">
        <v>926</v>
      </c>
      <c r="Y111" s="151">
        <v>368</v>
      </c>
    </row>
    <row r="112" spans="1:25">
      <c r="B112" s="48">
        <v>21</v>
      </c>
      <c r="C112" s="79" t="s">
        <v>367</v>
      </c>
      <c r="D112" s="151">
        <v>271</v>
      </c>
      <c r="E112" s="151">
        <v>923</v>
      </c>
      <c r="F112" s="151">
        <v>307</v>
      </c>
      <c r="G112" s="151">
        <v>18.399999999999999</v>
      </c>
      <c r="H112" s="151">
        <v>30</v>
      </c>
      <c r="I112" s="151">
        <v>19</v>
      </c>
      <c r="J112" s="151">
        <v>824.8</v>
      </c>
      <c r="K112" s="151">
        <v>5.12</v>
      </c>
      <c r="L112" s="151">
        <v>44.83</v>
      </c>
      <c r="M112" s="151">
        <v>472000</v>
      </c>
      <c r="N112" s="151">
        <v>14500</v>
      </c>
      <c r="O112" s="151">
        <v>36.9</v>
      </c>
      <c r="P112" s="151">
        <v>6.48</v>
      </c>
      <c r="Q112" s="151">
        <v>10200</v>
      </c>
      <c r="R112" s="151">
        <v>946</v>
      </c>
      <c r="S112" s="151">
        <v>11800</v>
      </c>
      <c r="T112" s="151">
        <v>1490</v>
      </c>
      <c r="U112" s="151">
        <v>0.86699999999999999</v>
      </c>
      <c r="V112" s="151">
        <v>33.799999999999997</v>
      </c>
      <c r="W112" s="151">
        <v>28.8</v>
      </c>
      <c r="X112" s="151">
        <v>769</v>
      </c>
      <c r="Y112" s="151">
        <v>346</v>
      </c>
    </row>
    <row r="113" spans="2:25">
      <c r="B113" s="48">
        <v>22</v>
      </c>
      <c r="C113" s="79" t="s">
        <v>83</v>
      </c>
      <c r="D113" s="151">
        <v>253.4</v>
      </c>
      <c r="E113" s="151">
        <v>918.4</v>
      </c>
      <c r="F113" s="151">
        <v>305.5</v>
      </c>
      <c r="G113" s="151">
        <v>17.3</v>
      </c>
      <c r="H113" s="151">
        <v>27.9</v>
      </c>
      <c r="I113" s="151">
        <v>19.100000000000001</v>
      </c>
      <c r="J113" s="151">
        <v>824.4</v>
      </c>
      <c r="K113" s="151">
        <v>5.47</v>
      </c>
      <c r="L113" s="151">
        <v>47.65</v>
      </c>
      <c r="M113" s="151">
        <v>436000</v>
      </c>
      <c r="N113" s="151">
        <v>13300</v>
      </c>
      <c r="O113" s="151">
        <v>36.799999999999997</v>
      </c>
      <c r="P113" s="151">
        <v>6.42</v>
      </c>
      <c r="Q113" s="151">
        <v>9500</v>
      </c>
      <c r="R113" s="151">
        <v>871</v>
      </c>
      <c r="S113" s="151">
        <v>10900</v>
      </c>
      <c r="T113" s="151">
        <v>1370</v>
      </c>
      <c r="U113" s="151">
        <v>0.86399999999999999</v>
      </c>
      <c r="V113" s="151">
        <v>36.200000000000003</v>
      </c>
      <c r="W113" s="151">
        <v>26.4</v>
      </c>
      <c r="X113" s="151">
        <v>626</v>
      </c>
      <c r="Y113" s="151">
        <v>323</v>
      </c>
    </row>
    <row r="114" spans="2:25">
      <c r="B114" s="48">
        <v>23</v>
      </c>
      <c r="C114" s="79" t="s">
        <v>368</v>
      </c>
      <c r="D114" s="151">
        <v>238</v>
      </c>
      <c r="E114" s="151">
        <v>915</v>
      </c>
      <c r="F114" s="151">
        <v>305</v>
      </c>
      <c r="G114" s="151">
        <v>16.5</v>
      </c>
      <c r="H114" s="151">
        <v>25.9</v>
      </c>
      <c r="I114" s="151">
        <v>19</v>
      </c>
      <c r="J114" s="151">
        <v>824.8</v>
      </c>
      <c r="K114" s="151">
        <v>5.89</v>
      </c>
      <c r="L114" s="151">
        <v>49.99</v>
      </c>
      <c r="M114" s="151">
        <v>406000</v>
      </c>
      <c r="N114" s="151">
        <v>12300</v>
      </c>
      <c r="O114" s="151">
        <v>36.6</v>
      </c>
      <c r="P114" s="151">
        <v>6.36</v>
      </c>
      <c r="Q114" s="151">
        <v>8880</v>
      </c>
      <c r="R114" s="151">
        <v>806</v>
      </c>
      <c r="S114" s="151">
        <v>10200</v>
      </c>
      <c r="T114" s="151">
        <v>1270</v>
      </c>
      <c r="U114" s="151">
        <v>0.86499999999999999</v>
      </c>
      <c r="V114" s="151">
        <v>38.6</v>
      </c>
      <c r="W114" s="151">
        <v>24.2</v>
      </c>
      <c r="X114" s="151">
        <v>514</v>
      </c>
      <c r="Y114" s="151">
        <v>304</v>
      </c>
    </row>
    <row r="115" spans="2:25">
      <c r="B115" s="48">
        <v>24</v>
      </c>
      <c r="C115" s="79" t="s">
        <v>84</v>
      </c>
      <c r="D115" s="151">
        <v>224.2</v>
      </c>
      <c r="E115" s="151">
        <v>910.4</v>
      </c>
      <c r="F115" s="151">
        <v>304.10000000000002</v>
      </c>
      <c r="G115" s="151">
        <v>15.9</v>
      </c>
      <c r="H115" s="151">
        <v>23.9</v>
      </c>
      <c r="I115" s="151">
        <v>19.100000000000001</v>
      </c>
      <c r="J115" s="151">
        <v>824.4</v>
      </c>
      <c r="K115" s="151">
        <v>6.36</v>
      </c>
      <c r="L115" s="151">
        <v>51.85</v>
      </c>
      <c r="M115" s="151">
        <v>376000</v>
      </c>
      <c r="N115" s="151">
        <v>11200</v>
      </c>
      <c r="O115" s="151">
        <v>36.299999999999997</v>
      </c>
      <c r="P115" s="151">
        <v>6.27</v>
      </c>
      <c r="Q115" s="151">
        <v>8270</v>
      </c>
      <c r="R115" s="151">
        <v>739</v>
      </c>
      <c r="S115" s="151">
        <v>9530</v>
      </c>
      <c r="T115" s="151">
        <v>1160</v>
      </c>
      <c r="U115" s="151">
        <v>0.86</v>
      </c>
      <c r="V115" s="151">
        <v>41.4</v>
      </c>
      <c r="W115" s="151">
        <v>22.1</v>
      </c>
      <c r="X115" s="151">
        <v>422</v>
      </c>
      <c r="Y115" s="151">
        <v>286</v>
      </c>
    </row>
    <row r="116" spans="2:25">
      <c r="B116" s="48">
        <v>25</v>
      </c>
      <c r="C116" s="79" t="s">
        <v>85</v>
      </c>
      <c r="D116" s="151">
        <v>200.9</v>
      </c>
      <c r="E116" s="151">
        <v>903</v>
      </c>
      <c r="F116" s="151">
        <v>303.3</v>
      </c>
      <c r="G116" s="151">
        <v>15.1</v>
      </c>
      <c r="H116" s="151">
        <v>20.2</v>
      </c>
      <c r="I116" s="151">
        <v>19.100000000000001</v>
      </c>
      <c r="J116" s="151">
        <v>824.4</v>
      </c>
      <c r="K116" s="151">
        <v>7.51</v>
      </c>
      <c r="L116" s="151">
        <v>54.6</v>
      </c>
      <c r="M116" s="151">
        <v>325000</v>
      </c>
      <c r="N116" s="151">
        <v>9420</v>
      </c>
      <c r="O116" s="151">
        <v>35.700000000000003</v>
      </c>
      <c r="P116" s="151">
        <v>6.07</v>
      </c>
      <c r="Q116" s="151">
        <v>7200</v>
      </c>
      <c r="R116" s="151">
        <v>621</v>
      </c>
      <c r="S116" s="151">
        <v>8350</v>
      </c>
      <c r="T116" s="151">
        <v>982</v>
      </c>
      <c r="U116" s="151">
        <v>0.85299999999999998</v>
      </c>
      <c r="V116" s="151">
        <v>46.9</v>
      </c>
      <c r="W116" s="151">
        <v>18.399999999999999</v>
      </c>
      <c r="X116" s="151">
        <v>291</v>
      </c>
      <c r="Y116" s="151">
        <v>256</v>
      </c>
    </row>
    <row r="117" spans="2:25">
      <c r="B117" s="48">
        <v>26</v>
      </c>
      <c r="C117" s="79" t="s">
        <v>86</v>
      </c>
      <c r="D117" s="151">
        <v>226.5</v>
      </c>
      <c r="E117" s="151">
        <v>850.9</v>
      </c>
      <c r="F117" s="151">
        <v>293.8</v>
      </c>
      <c r="G117" s="151">
        <v>16.100000000000001</v>
      </c>
      <c r="H117" s="151">
        <v>26.8</v>
      </c>
      <c r="I117" s="151">
        <v>17.8</v>
      </c>
      <c r="J117" s="151">
        <v>761.7</v>
      </c>
      <c r="K117" s="151">
        <v>5.48</v>
      </c>
      <c r="L117" s="151">
        <v>47.31</v>
      </c>
      <c r="M117" s="151">
        <v>340000</v>
      </c>
      <c r="N117" s="151">
        <v>11400</v>
      </c>
      <c r="O117" s="151">
        <v>34.299999999999997</v>
      </c>
      <c r="P117" s="151">
        <v>6.27</v>
      </c>
      <c r="Q117" s="151">
        <v>7980</v>
      </c>
      <c r="R117" s="151">
        <v>773</v>
      </c>
      <c r="S117" s="151">
        <v>9160</v>
      </c>
      <c r="T117" s="151">
        <v>1210</v>
      </c>
      <c r="U117" s="151">
        <v>0.87</v>
      </c>
      <c r="V117" s="151">
        <v>34.9</v>
      </c>
      <c r="W117" s="151">
        <v>19.3</v>
      </c>
      <c r="X117" s="151">
        <v>514</v>
      </c>
      <c r="Y117" s="151">
        <v>289</v>
      </c>
    </row>
    <row r="118" spans="2:25">
      <c r="B118" s="48">
        <v>27</v>
      </c>
      <c r="C118" s="79" t="s">
        <v>87</v>
      </c>
      <c r="D118" s="151">
        <v>193.8</v>
      </c>
      <c r="E118" s="151">
        <v>840.7</v>
      </c>
      <c r="F118" s="151">
        <v>292.39999999999998</v>
      </c>
      <c r="G118" s="151">
        <v>14.7</v>
      </c>
      <c r="H118" s="151">
        <v>21.7</v>
      </c>
      <c r="I118" s="151">
        <v>17.8</v>
      </c>
      <c r="J118" s="151">
        <v>761.7</v>
      </c>
      <c r="K118" s="151">
        <v>6.74</v>
      </c>
      <c r="L118" s="151">
        <v>51.82</v>
      </c>
      <c r="M118" s="151">
        <v>279000</v>
      </c>
      <c r="N118" s="151">
        <v>9070</v>
      </c>
      <c r="O118" s="151">
        <v>33.6</v>
      </c>
      <c r="P118" s="151">
        <v>6.06</v>
      </c>
      <c r="Q118" s="151">
        <v>6640</v>
      </c>
      <c r="R118" s="151">
        <v>620</v>
      </c>
      <c r="S118" s="151">
        <v>7640</v>
      </c>
      <c r="T118" s="151">
        <v>974</v>
      </c>
      <c r="U118" s="151">
        <v>0.86199999999999999</v>
      </c>
      <c r="V118" s="151">
        <v>41.6</v>
      </c>
      <c r="W118" s="151">
        <v>15.2</v>
      </c>
      <c r="X118" s="151">
        <v>306</v>
      </c>
      <c r="Y118" s="151">
        <v>247</v>
      </c>
    </row>
    <row r="119" spans="2:25">
      <c r="B119" s="48">
        <v>28</v>
      </c>
      <c r="C119" s="79" t="s">
        <v>88</v>
      </c>
      <c r="D119" s="151">
        <v>175.9</v>
      </c>
      <c r="E119" s="151">
        <v>834.9</v>
      </c>
      <c r="F119" s="151">
        <v>291.7</v>
      </c>
      <c r="G119" s="151">
        <v>14</v>
      </c>
      <c r="H119" s="151">
        <v>18.8</v>
      </c>
      <c r="I119" s="151">
        <v>17.8</v>
      </c>
      <c r="J119" s="151">
        <v>761.7</v>
      </c>
      <c r="K119" s="151">
        <v>7.76</v>
      </c>
      <c r="L119" s="151">
        <v>54.41</v>
      </c>
      <c r="M119" s="151">
        <v>246000</v>
      </c>
      <c r="N119" s="151">
        <v>7800</v>
      </c>
      <c r="O119" s="151">
        <v>33.1</v>
      </c>
      <c r="P119" s="151">
        <v>5.9</v>
      </c>
      <c r="Q119" s="151">
        <v>5890</v>
      </c>
      <c r="R119" s="151">
        <v>535</v>
      </c>
      <c r="S119" s="151">
        <v>6810</v>
      </c>
      <c r="T119" s="151">
        <v>842</v>
      </c>
      <c r="U119" s="151">
        <v>0.85599999999999998</v>
      </c>
      <c r="V119" s="151">
        <v>46.5</v>
      </c>
      <c r="W119" s="151">
        <v>13</v>
      </c>
      <c r="X119" s="151">
        <v>221</v>
      </c>
      <c r="Y119" s="151">
        <v>224</v>
      </c>
    </row>
    <row r="120" spans="2:25">
      <c r="B120" s="48">
        <v>29</v>
      </c>
      <c r="C120" s="79" t="s">
        <v>89</v>
      </c>
      <c r="D120" s="151">
        <v>196.8</v>
      </c>
      <c r="E120" s="151">
        <v>769.8</v>
      </c>
      <c r="F120" s="151">
        <v>268</v>
      </c>
      <c r="G120" s="151">
        <v>15.6</v>
      </c>
      <c r="H120" s="151">
        <v>25.4</v>
      </c>
      <c r="I120" s="151">
        <v>16.5</v>
      </c>
      <c r="J120" s="151">
        <v>686</v>
      </c>
      <c r="K120" s="151">
        <v>5.28</v>
      </c>
      <c r="L120" s="151">
        <v>43.97</v>
      </c>
      <c r="M120" s="151">
        <v>240000</v>
      </c>
      <c r="N120" s="151">
        <v>8170</v>
      </c>
      <c r="O120" s="151">
        <v>30.9</v>
      </c>
      <c r="P120" s="151">
        <v>5.71</v>
      </c>
      <c r="Q120" s="151">
        <v>6230</v>
      </c>
      <c r="R120" s="151">
        <v>610</v>
      </c>
      <c r="S120" s="151">
        <v>7170</v>
      </c>
      <c r="T120" s="151">
        <v>958</v>
      </c>
      <c r="U120" s="151">
        <v>0.86899999999999999</v>
      </c>
      <c r="V120" s="151">
        <v>33.200000000000003</v>
      </c>
      <c r="W120" s="151">
        <v>11.3</v>
      </c>
      <c r="X120" s="151">
        <v>404</v>
      </c>
      <c r="Y120" s="151">
        <v>251</v>
      </c>
    </row>
    <row r="121" spans="2:25">
      <c r="B121" s="48">
        <v>30</v>
      </c>
      <c r="C121" s="79" t="s">
        <v>90</v>
      </c>
      <c r="D121" s="151">
        <v>173</v>
      </c>
      <c r="E121" s="151">
        <v>762.2</v>
      </c>
      <c r="F121" s="151">
        <v>266.7</v>
      </c>
      <c r="G121" s="151">
        <v>14.3</v>
      </c>
      <c r="H121" s="151">
        <v>21.6</v>
      </c>
      <c r="I121" s="151">
        <v>16.5</v>
      </c>
      <c r="J121" s="151">
        <v>686</v>
      </c>
      <c r="K121" s="151">
        <v>6.17</v>
      </c>
      <c r="L121" s="151">
        <v>47.97</v>
      </c>
      <c r="M121" s="151">
        <v>205000</v>
      </c>
      <c r="N121" s="151">
        <v>6850</v>
      </c>
      <c r="O121" s="151">
        <v>30.5</v>
      </c>
      <c r="P121" s="151">
        <v>5.58</v>
      </c>
      <c r="Q121" s="151">
        <v>5390</v>
      </c>
      <c r="R121" s="151">
        <v>514</v>
      </c>
      <c r="S121" s="151">
        <v>6200</v>
      </c>
      <c r="T121" s="151">
        <v>807</v>
      </c>
      <c r="U121" s="151">
        <v>0.86499999999999999</v>
      </c>
      <c r="V121" s="151">
        <v>38</v>
      </c>
      <c r="W121" s="151">
        <v>9.39</v>
      </c>
      <c r="X121" s="151">
        <v>267</v>
      </c>
      <c r="Y121" s="151">
        <v>220</v>
      </c>
    </row>
    <row r="122" spans="2:25">
      <c r="B122" s="48">
        <v>31</v>
      </c>
      <c r="C122" s="79" t="s">
        <v>91</v>
      </c>
      <c r="D122" s="151">
        <v>146.9</v>
      </c>
      <c r="E122" s="151">
        <v>754</v>
      </c>
      <c r="F122" s="151">
        <v>265.2</v>
      </c>
      <c r="G122" s="151">
        <v>12.8</v>
      </c>
      <c r="H122" s="151">
        <v>17.5</v>
      </c>
      <c r="I122" s="151">
        <v>16.5</v>
      </c>
      <c r="J122" s="151">
        <v>686</v>
      </c>
      <c r="K122" s="151">
        <v>7.58</v>
      </c>
      <c r="L122" s="151">
        <v>53.59</v>
      </c>
      <c r="M122" s="151">
        <v>169000</v>
      </c>
      <c r="N122" s="151">
        <v>5460</v>
      </c>
      <c r="O122" s="151">
        <v>30</v>
      </c>
      <c r="P122" s="151">
        <v>5.4</v>
      </c>
      <c r="Q122" s="151">
        <v>4470</v>
      </c>
      <c r="R122" s="151">
        <v>411</v>
      </c>
      <c r="S122" s="151">
        <v>5160</v>
      </c>
      <c r="T122" s="151">
        <v>647</v>
      </c>
      <c r="U122" s="151">
        <v>0.85899999999999999</v>
      </c>
      <c r="V122" s="151">
        <v>45.2</v>
      </c>
      <c r="W122" s="151">
        <v>7.4</v>
      </c>
      <c r="X122" s="151">
        <v>159</v>
      </c>
      <c r="Y122" s="151">
        <v>187</v>
      </c>
    </row>
    <row r="123" spans="2:25">
      <c r="B123" s="48">
        <v>32</v>
      </c>
      <c r="C123" s="79" t="s">
        <v>92</v>
      </c>
      <c r="D123" s="151">
        <v>133.9</v>
      </c>
      <c r="E123" s="151">
        <v>750</v>
      </c>
      <c r="F123" s="151">
        <v>264.39999999999998</v>
      </c>
      <c r="G123" s="151">
        <v>12</v>
      </c>
      <c r="H123" s="151">
        <v>15.5</v>
      </c>
      <c r="I123" s="151">
        <v>16.5</v>
      </c>
      <c r="J123" s="151">
        <v>686</v>
      </c>
      <c r="K123" s="151">
        <v>8.5299999999999994</v>
      </c>
      <c r="L123" s="151">
        <v>57.17</v>
      </c>
      <c r="M123" s="151">
        <v>151000</v>
      </c>
      <c r="N123" s="151">
        <v>4790</v>
      </c>
      <c r="O123" s="151">
        <v>29.7</v>
      </c>
      <c r="P123" s="151">
        <v>5.3</v>
      </c>
      <c r="Q123" s="151">
        <v>4020</v>
      </c>
      <c r="R123" s="151">
        <v>362</v>
      </c>
      <c r="S123" s="151">
        <v>4640</v>
      </c>
      <c r="T123" s="151">
        <v>570</v>
      </c>
      <c r="U123" s="151">
        <v>0.85299999999999998</v>
      </c>
      <c r="V123" s="151">
        <v>49.8</v>
      </c>
      <c r="W123" s="151">
        <v>6.46</v>
      </c>
      <c r="X123" s="151">
        <v>119</v>
      </c>
      <c r="Y123" s="151">
        <v>171</v>
      </c>
    </row>
    <row r="124" spans="2:25">
      <c r="B124" s="48">
        <v>33</v>
      </c>
      <c r="C124" s="79" t="s">
        <v>93</v>
      </c>
      <c r="D124" s="151">
        <v>170.2</v>
      </c>
      <c r="E124" s="151">
        <v>692.9</v>
      </c>
      <c r="F124" s="151">
        <v>255.8</v>
      </c>
      <c r="G124" s="151">
        <v>14.5</v>
      </c>
      <c r="H124" s="151">
        <v>23.7</v>
      </c>
      <c r="I124" s="151">
        <v>15.2</v>
      </c>
      <c r="J124" s="151">
        <v>615.1</v>
      </c>
      <c r="K124" s="151">
        <v>5.4</v>
      </c>
      <c r="L124" s="151">
        <v>42.42</v>
      </c>
      <c r="M124" s="151">
        <v>170000</v>
      </c>
      <c r="N124" s="151">
        <v>6630</v>
      </c>
      <c r="O124" s="151">
        <v>28</v>
      </c>
      <c r="P124" s="151">
        <v>5.53</v>
      </c>
      <c r="Q124" s="151">
        <v>4920</v>
      </c>
      <c r="R124" s="151">
        <v>518</v>
      </c>
      <c r="S124" s="151">
        <v>5630</v>
      </c>
      <c r="T124" s="151">
        <v>811</v>
      </c>
      <c r="U124" s="151">
        <v>0.872</v>
      </c>
      <c r="V124" s="151">
        <v>31.8</v>
      </c>
      <c r="W124" s="151">
        <v>7.42</v>
      </c>
      <c r="X124" s="151">
        <v>308</v>
      </c>
      <c r="Y124" s="151">
        <v>217</v>
      </c>
    </row>
    <row r="125" spans="2:25">
      <c r="B125" s="48">
        <v>34</v>
      </c>
      <c r="C125" s="79" t="s">
        <v>94</v>
      </c>
      <c r="D125" s="151">
        <v>152.4</v>
      </c>
      <c r="E125" s="151">
        <v>687.5</v>
      </c>
      <c r="F125" s="151">
        <v>254.5</v>
      </c>
      <c r="G125" s="151">
        <v>13.2</v>
      </c>
      <c r="H125" s="151">
        <v>21</v>
      </c>
      <c r="I125" s="151">
        <v>15.2</v>
      </c>
      <c r="J125" s="151">
        <v>615.1</v>
      </c>
      <c r="K125" s="151">
        <v>6.06</v>
      </c>
      <c r="L125" s="151">
        <v>46.6</v>
      </c>
      <c r="M125" s="151">
        <v>150000</v>
      </c>
      <c r="N125" s="151">
        <v>5780</v>
      </c>
      <c r="O125" s="151">
        <v>27.8</v>
      </c>
      <c r="P125" s="151">
        <v>5.46</v>
      </c>
      <c r="Q125" s="151">
        <v>4370</v>
      </c>
      <c r="R125" s="151">
        <v>455</v>
      </c>
      <c r="S125" s="151">
        <v>5000</v>
      </c>
      <c r="T125" s="151">
        <v>710</v>
      </c>
      <c r="U125" s="151">
        <v>0.871</v>
      </c>
      <c r="V125" s="151">
        <v>35.4</v>
      </c>
      <c r="W125" s="151">
        <v>6.42</v>
      </c>
      <c r="X125" s="151">
        <v>220</v>
      </c>
      <c r="Y125" s="151">
        <v>194</v>
      </c>
    </row>
    <row r="126" spans="2:25">
      <c r="B126" s="48">
        <v>35</v>
      </c>
      <c r="C126" s="79" t="s">
        <v>95</v>
      </c>
      <c r="D126" s="151">
        <v>140.1</v>
      </c>
      <c r="E126" s="151">
        <v>683.5</v>
      </c>
      <c r="F126" s="151">
        <v>253.7</v>
      </c>
      <c r="G126" s="151">
        <v>12.4</v>
      </c>
      <c r="H126" s="151">
        <v>19</v>
      </c>
      <c r="I126" s="151">
        <v>15.2</v>
      </c>
      <c r="J126" s="151">
        <v>615.1</v>
      </c>
      <c r="K126" s="151">
        <v>6.68</v>
      </c>
      <c r="L126" s="151">
        <v>49.6</v>
      </c>
      <c r="M126" s="151">
        <v>136000</v>
      </c>
      <c r="N126" s="151">
        <v>5180</v>
      </c>
      <c r="O126" s="151">
        <v>27.6</v>
      </c>
      <c r="P126" s="151">
        <v>5.39</v>
      </c>
      <c r="Q126" s="151">
        <v>3990</v>
      </c>
      <c r="R126" s="151">
        <v>409</v>
      </c>
      <c r="S126" s="151">
        <v>4560</v>
      </c>
      <c r="T126" s="151">
        <v>638</v>
      </c>
      <c r="U126" s="151">
        <v>0.87</v>
      </c>
      <c r="V126" s="151">
        <v>38.6</v>
      </c>
      <c r="W126" s="151">
        <v>5.72</v>
      </c>
      <c r="X126" s="151">
        <v>169</v>
      </c>
      <c r="Y126" s="151">
        <v>178</v>
      </c>
    </row>
    <row r="127" spans="2:25">
      <c r="B127" s="48">
        <v>36</v>
      </c>
      <c r="C127" s="79" t="s">
        <v>96</v>
      </c>
      <c r="D127" s="151">
        <v>125.2</v>
      </c>
      <c r="E127" s="151">
        <v>677.9</v>
      </c>
      <c r="F127" s="151">
        <v>253</v>
      </c>
      <c r="G127" s="151">
        <v>11.7</v>
      </c>
      <c r="H127" s="151">
        <v>16.2</v>
      </c>
      <c r="I127" s="151">
        <v>15.2</v>
      </c>
      <c r="J127" s="151">
        <v>615.1</v>
      </c>
      <c r="K127" s="151">
        <v>7.81</v>
      </c>
      <c r="L127" s="151">
        <v>52.57</v>
      </c>
      <c r="M127" s="151">
        <v>118000</v>
      </c>
      <c r="N127" s="151">
        <v>4380</v>
      </c>
      <c r="O127" s="151">
        <v>27.2</v>
      </c>
      <c r="P127" s="151">
        <v>5.24</v>
      </c>
      <c r="Q127" s="151">
        <v>3480</v>
      </c>
      <c r="R127" s="151">
        <v>346</v>
      </c>
      <c r="S127" s="151">
        <v>3990</v>
      </c>
      <c r="T127" s="151">
        <v>542</v>
      </c>
      <c r="U127" s="151">
        <v>0.86199999999999999</v>
      </c>
      <c r="V127" s="151">
        <v>43.8</v>
      </c>
      <c r="W127" s="151">
        <v>4.8</v>
      </c>
      <c r="X127" s="151">
        <v>116</v>
      </c>
      <c r="Y127" s="151">
        <v>159</v>
      </c>
    </row>
    <row r="128" spans="2:25">
      <c r="B128" s="48">
        <v>37</v>
      </c>
      <c r="C128" s="79" t="s">
        <v>97</v>
      </c>
      <c r="D128" s="151">
        <v>238.1</v>
      </c>
      <c r="E128" s="151">
        <v>635.79999999999995</v>
      </c>
      <c r="F128" s="151">
        <v>311.39999999999998</v>
      </c>
      <c r="G128" s="151">
        <v>18.399999999999999</v>
      </c>
      <c r="H128" s="151">
        <v>31.4</v>
      </c>
      <c r="I128" s="151">
        <v>16.5</v>
      </c>
      <c r="J128" s="151">
        <v>540</v>
      </c>
      <c r="K128" s="151">
        <v>4.96</v>
      </c>
      <c r="L128" s="151">
        <v>29.35</v>
      </c>
      <c r="M128" s="151">
        <v>209000</v>
      </c>
      <c r="N128" s="151">
        <v>15800</v>
      </c>
      <c r="O128" s="151">
        <v>26.3</v>
      </c>
      <c r="P128" s="151">
        <v>7.23</v>
      </c>
      <c r="Q128" s="151">
        <v>6590</v>
      </c>
      <c r="R128" s="151">
        <v>1020</v>
      </c>
      <c r="S128" s="151">
        <v>7490</v>
      </c>
      <c r="T128" s="151">
        <v>1570</v>
      </c>
      <c r="U128" s="151">
        <v>0.88600000000000001</v>
      </c>
      <c r="V128" s="151">
        <v>21.3</v>
      </c>
      <c r="W128" s="151">
        <v>14.5</v>
      </c>
      <c r="X128" s="151">
        <v>785</v>
      </c>
      <c r="Y128" s="151">
        <v>303</v>
      </c>
    </row>
    <row r="129" spans="2:25">
      <c r="B129" s="48">
        <v>38</v>
      </c>
      <c r="C129" s="79" t="s">
        <v>98</v>
      </c>
      <c r="D129" s="151">
        <v>179</v>
      </c>
      <c r="E129" s="151">
        <v>620.20000000000005</v>
      </c>
      <c r="F129" s="151">
        <v>307.10000000000002</v>
      </c>
      <c r="G129" s="151">
        <v>14.1</v>
      </c>
      <c r="H129" s="151">
        <v>23.6</v>
      </c>
      <c r="I129" s="151">
        <v>16.5</v>
      </c>
      <c r="J129" s="151">
        <v>540</v>
      </c>
      <c r="K129" s="151">
        <v>6.51</v>
      </c>
      <c r="L129" s="151">
        <v>38.299999999999997</v>
      </c>
      <c r="M129" s="151">
        <v>153000</v>
      </c>
      <c r="N129" s="151">
        <v>11400</v>
      </c>
      <c r="O129" s="151">
        <v>25.9</v>
      </c>
      <c r="P129" s="151">
        <v>7.07</v>
      </c>
      <c r="Q129" s="151">
        <v>4930</v>
      </c>
      <c r="R129" s="151">
        <v>743</v>
      </c>
      <c r="S129" s="151">
        <v>5550</v>
      </c>
      <c r="T129" s="151">
        <v>1140</v>
      </c>
      <c r="U129" s="151">
        <v>0.88500000000000001</v>
      </c>
      <c r="V129" s="151">
        <v>27.7</v>
      </c>
      <c r="W129" s="151">
        <v>10.199999999999999</v>
      </c>
      <c r="X129" s="151">
        <v>340</v>
      </c>
      <c r="Y129" s="151">
        <v>228</v>
      </c>
    </row>
    <row r="130" spans="2:25">
      <c r="B130" s="48">
        <v>39</v>
      </c>
      <c r="C130" s="79" t="s">
        <v>99</v>
      </c>
      <c r="D130" s="151">
        <v>149.19999999999999</v>
      </c>
      <c r="E130" s="151">
        <v>612.4</v>
      </c>
      <c r="F130" s="151">
        <v>304.8</v>
      </c>
      <c r="G130" s="151">
        <v>11.8</v>
      </c>
      <c r="H130" s="151">
        <v>19.7</v>
      </c>
      <c r="I130" s="151">
        <v>16.5</v>
      </c>
      <c r="J130" s="151">
        <v>540</v>
      </c>
      <c r="K130" s="151">
        <v>7.74</v>
      </c>
      <c r="L130" s="151">
        <v>45.76</v>
      </c>
      <c r="M130" s="151">
        <v>126000</v>
      </c>
      <c r="N130" s="151">
        <v>9310</v>
      </c>
      <c r="O130" s="151">
        <v>25.7</v>
      </c>
      <c r="P130" s="151">
        <v>7</v>
      </c>
      <c r="Q130" s="151">
        <v>4110</v>
      </c>
      <c r="R130" s="151">
        <v>611</v>
      </c>
      <c r="S130" s="151">
        <v>4590</v>
      </c>
      <c r="T130" s="151">
        <v>937</v>
      </c>
      <c r="U130" s="151">
        <v>0.88600000000000001</v>
      </c>
      <c r="V130" s="151">
        <v>32.700000000000003</v>
      </c>
      <c r="W130" s="151">
        <v>8.17</v>
      </c>
      <c r="X130" s="151">
        <v>200</v>
      </c>
      <c r="Y130" s="151">
        <v>190</v>
      </c>
    </row>
    <row r="131" spans="2:25">
      <c r="B131" s="48">
        <v>40</v>
      </c>
      <c r="C131" s="79" t="s">
        <v>100</v>
      </c>
      <c r="D131" s="151">
        <v>139.9</v>
      </c>
      <c r="E131" s="151">
        <v>617.20000000000005</v>
      </c>
      <c r="F131" s="151">
        <v>230.2</v>
      </c>
      <c r="G131" s="151">
        <v>13.1</v>
      </c>
      <c r="H131" s="151">
        <v>22.1</v>
      </c>
      <c r="I131" s="151">
        <v>12.7</v>
      </c>
      <c r="J131" s="151">
        <v>547.6</v>
      </c>
      <c r="K131" s="151">
        <v>5.21</v>
      </c>
      <c r="L131" s="151">
        <v>41.8</v>
      </c>
      <c r="M131" s="151">
        <v>112000</v>
      </c>
      <c r="N131" s="151">
        <v>4510</v>
      </c>
      <c r="O131" s="151">
        <v>25</v>
      </c>
      <c r="P131" s="151">
        <v>5.03</v>
      </c>
      <c r="Q131" s="151">
        <v>3620</v>
      </c>
      <c r="R131" s="151">
        <v>391</v>
      </c>
      <c r="S131" s="151">
        <v>4140</v>
      </c>
      <c r="T131" s="151">
        <v>611</v>
      </c>
      <c r="U131" s="151">
        <v>0.875</v>
      </c>
      <c r="V131" s="151">
        <v>30.5</v>
      </c>
      <c r="W131" s="151">
        <v>3.99</v>
      </c>
      <c r="X131" s="151">
        <v>216</v>
      </c>
      <c r="Y131" s="151">
        <v>178</v>
      </c>
    </row>
    <row r="132" spans="2:25">
      <c r="B132" s="48">
        <v>41</v>
      </c>
      <c r="C132" s="79" t="s">
        <v>101</v>
      </c>
      <c r="D132" s="151">
        <v>125.1</v>
      </c>
      <c r="E132" s="151">
        <v>612.20000000000005</v>
      </c>
      <c r="F132" s="151">
        <v>229</v>
      </c>
      <c r="G132" s="151">
        <v>11.9</v>
      </c>
      <c r="H132" s="151">
        <v>19.600000000000001</v>
      </c>
      <c r="I132" s="151">
        <v>12.7</v>
      </c>
      <c r="J132" s="151">
        <v>547.6</v>
      </c>
      <c r="K132" s="151">
        <v>5.84</v>
      </c>
      <c r="L132" s="151">
        <v>46.02</v>
      </c>
      <c r="M132" s="151">
        <v>98600</v>
      </c>
      <c r="N132" s="151">
        <v>3930</v>
      </c>
      <c r="O132" s="151">
        <v>24.9</v>
      </c>
      <c r="P132" s="151">
        <v>4.97</v>
      </c>
      <c r="Q132" s="151">
        <v>3220</v>
      </c>
      <c r="R132" s="151">
        <v>343</v>
      </c>
      <c r="S132" s="151">
        <v>3680</v>
      </c>
      <c r="T132" s="151">
        <v>535</v>
      </c>
      <c r="U132" s="151">
        <v>0.875</v>
      </c>
      <c r="V132" s="151">
        <v>34.1</v>
      </c>
      <c r="W132" s="151">
        <v>3.45</v>
      </c>
      <c r="X132" s="151">
        <v>154</v>
      </c>
      <c r="Y132" s="151">
        <v>159</v>
      </c>
    </row>
    <row r="133" spans="2:25">
      <c r="B133" s="48">
        <v>42</v>
      </c>
      <c r="C133" s="79" t="s">
        <v>102</v>
      </c>
      <c r="D133" s="151">
        <v>113</v>
      </c>
      <c r="E133" s="151">
        <v>607.6</v>
      </c>
      <c r="F133" s="151">
        <v>228.2</v>
      </c>
      <c r="G133" s="151">
        <v>11.1</v>
      </c>
      <c r="H133" s="151">
        <v>17.3</v>
      </c>
      <c r="I133" s="151">
        <v>12.7</v>
      </c>
      <c r="J133" s="151">
        <v>547.6</v>
      </c>
      <c r="K133" s="151">
        <v>6.6</v>
      </c>
      <c r="L133" s="151">
        <v>49.33</v>
      </c>
      <c r="M133" s="151">
        <v>87300</v>
      </c>
      <c r="N133" s="151">
        <v>3430</v>
      </c>
      <c r="O133" s="151">
        <v>24.6</v>
      </c>
      <c r="P133" s="151">
        <v>4.88</v>
      </c>
      <c r="Q133" s="151">
        <v>2870</v>
      </c>
      <c r="R133" s="151">
        <v>301</v>
      </c>
      <c r="S133" s="151">
        <v>3280</v>
      </c>
      <c r="T133" s="151">
        <v>469</v>
      </c>
      <c r="U133" s="151">
        <v>0.87</v>
      </c>
      <c r="V133" s="151">
        <v>38</v>
      </c>
      <c r="W133" s="151">
        <v>2.99</v>
      </c>
      <c r="X133" s="151">
        <v>111</v>
      </c>
      <c r="Y133" s="151">
        <v>144</v>
      </c>
    </row>
    <row r="134" spans="2:25">
      <c r="B134" s="48">
        <v>43</v>
      </c>
      <c r="C134" s="79" t="s">
        <v>103</v>
      </c>
      <c r="D134" s="151">
        <v>101.2</v>
      </c>
      <c r="E134" s="151">
        <v>602.6</v>
      </c>
      <c r="F134" s="151">
        <v>227.6</v>
      </c>
      <c r="G134" s="151">
        <v>10.5</v>
      </c>
      <c r="H134" s="151">
        <v>14.8</v>
      </c>
      <c r="I134" s="151">
        <v>12.7</v>
      </c>
      <c r="J134" s="151">
        <v>547.6</v>
      </c>
      <c r="K134" s="151">
        <v>7.69</v>
      </c>
      <c r="L134" s="151">
        <v>52.15</v>
      </c>
      <c r="M134" s="151">
        <v>75800</v>
      </c>
      <c r="N134" s="151">
        <v>2910</v>
      </c>
      <c r="O134" s="151">
        <v>24.2</v>
      </c>
      <c r="P134" s="151">
        <v>4.75</v>
      </c>
      <c r="Q134" s="151">
        <v>2520</v>
      </c>
      <c r="R134" s="151">
        <v>256</v>
      </c>
      <c r="S134" s="151">
        <v>2880</v>
      </c>
      <c r="T134" s="151">
        <v>400</v>
      </c>
      <c r="U134" s="151">
        <v>0.86299999999999999</v>
      </c>
      <c r="V134" s="151">
        <v>43.1</v>
      </c>
      <c r="W134" s="151">
        <v>2.52</v>
      </c>
      <c r="X134" s="151">
        <v>77</v>
      </c>
      <c r="Y134" s="151">
        <v>129</v>
      </c>
    </row>
    <row r="135" spans="2:25">
      <c r="B135" s="48">
        <v>44</v>
      </c>
      <c r="C135" s="79" t="s">
        <v>311</v>
      </c>
      <c r="D135" s="151">
        <v>100.3</v>
      </c>
      <c r="E135" s="151">
        <v>607.4</v>
      </c>
      <c r="F135" s="151">
        <v>179.2</v>
      </c>
      <c r="G135" s="151">
        <v>11.3</v>
      </c>
      <c r="H135" s="151">
        <v>17.2</v>
      </c>
      <c r="I135" s="151">
        <v>12.7</v>
      </c>
      <c r="J135" s="151">
        <v>547.6</v>
      </c>
      <c r="K135" s="151">
        <v>5.21</v>
      </c>
      <c r="L135" s="151">
        <v>48.46</v>
      </c>
      <c r="M135" s="151">
        <v>72500</v>
      </c>
      <c r="N135" s="151">
        <v>1660</v>
      </c>
      <c r="O135" s="151">
        <v>23.8</v>
      </c>
      <c r="P135" s="151">
        <v>3.6</v>
      </c>
      <c r="Q135" s="151">
        <v>2390</v>
      </c>
      <c r="R135" s="151">
        <v>185</v>
      </c>
      <c r="S135" s="151">
        <v>2790</v>
      </c>
      <c r="T135" s="151">
        <v>296</v>
      </c>
      <c r="U135" s="151">
        <v>0.85499999999999998</v>
      </c>
      <c r="V135" s="151">
        <v>38.700000000000003</v>
      </c>
      <c r="W135" s="151">
        <v>1.44</v>
      </c>
      <c r="X135" s="151">
        <v>95</v>
      </c>
      <c r="Y135" s="151">
        <v>128</v>
      </c>
    </row>
    <row r="136" spans="2:25">
      <c r="B136" s="48">
        <v>45</v>
      </c>
      <c r="C136" s="79" t="s">
        <v>315</v>
      </c>
      <c r="D136" s="151">
        <v>92.2</v>
      </c>
      <c r="E136" s="151">
        <v>603</v>
      </c>
      <c r="F136" s="151">
        <v>178.8</v>
      </c>
      <c r="G136" s="151">
        <v>10.9</v>
      </c>
      <c r="H136" s="151">
        <v>15</v>
      </c>
      <c r="I136" s="151">
        <v>12.7</v>
      </c>
      <c r="J136" s="151">
        <v>547.6</v>
      </c>
      <c r="K136" s="151">
        <v>5.96</v>
      </c>
      <c r="L136" s="151">
        <v>50.24</v>
      </c>
      <c r="M136" s="151">
        <v>64600</v>
      </c>
      <c r="N136" s="151">
        <v>1440</v>
      </c>
      <c r="O136" s="151">
        <v>23.4</v>
      </c>
      <c r="P136" s="151">
        <v>3.5</v>
      </c>
      <c r="Q136" s="151">
        <v>2140</v>
      </c>
      <c r="R136" s="151">
        <v>161</v>
      </c>
      <c r="S136" s="151">
        <v>2510</v>
      </c>
      <c r="T136" s="151">
        <v>258</v>
      </c>
      <c r="U136" s="151">
        <v>0.85</v>
      </c>
      <c r="V136" s="151">
        <v>42.6</v>
      </c>
      <c r="W136" s="151">
        <v>1.24</v>
      </c>
      <c r="X136" s="151">
        <v>71</v>
      </c>
      <c r="Y136" s="151">
        <v>117</v>
      </c>
    </row>
    <row r="137" spans="2:25">
      <c r="B137" s="48">
        <v>46</v>
      </c>
      <c r="C137" s="79" t="s">
        <v>312</v>
      </c>
      <c r="D137" s="151">
        <v>81.8</v>
      </c>
      <c r="E137" s="151">
        <v>598.6</v>
      </c>
      <c r="F137" s="151">
        <v>177.9</v>
      </c>
      <c r="G137" s="151">
        <v>10</v>
      </c>
      <c r="H137" s="151">
        <v>12.8</v>
      </c>
      <c r="I137" s="151">
        <v>12.7</v>
      </c>
      <c r="J137" s="151">
        <v>547.6</v>
      </c>
      <c r="K137" s="151">
        <v>6.95</v>
      </c>
      <c r="L137" s="151">
        <v>54.76</v>
      </c>
      <c r="M137" s="151">
        <v>55900</v>
      </c>
      <c r="N137" s="151">
        <v>1210</v>
      </c>
      <c r="O137" s="151">
        <v>23.2</v>
      </c>
      <c r="P137" s="151">
        <v>3.4</v>
      </c>
      <c r="Q137" s="151">
        <v>1870</v>
      </c>
      <c r="R137" s="151">
        <v>136</v>
      </c>
      <c r="S137" s="151">
        <v>2190</v>
      </c>
      <c r="T137" s="151">
        <v>218</v>
      </c>
      <c r="U137" s="151">
        <v>0.84299999999999997</v>
      </c>
      <c r="V137" s="151">
        <v>48.4</v>
      </c>
      <c r="W137" s="151">
        <v>1.04</v>
      </c>
      <c r="X137" s="151">
        <v>48.8</v>
      </c>
      <c r="Y137" s="151">
        <v>104</v>
      </c>
    </row>
    <row r="138" spans="2:25">
      <c r="B138" s="48">
        <v>47</v>
      </c>
      <c r="C138" s="79" t="s">
        <v>369</v>
      </c>
      <c r="D138" s="151">
        <v>273.3</v>
      </c>
      <c r="E138" s="151">
        <v>577.1</v>
      </c>
      <c r="F138" s="151">
        <v>320.2</v>
      </c>
      <c r="G138" s="151">
        <v>21.1</v>
      </c>
      <c r="H138" s="151">
        <v>37.6</v>
      </c>
      <c r="I138" s="151">
        <v>12.7</v>
      </c>
      <c r="J138" s="151">
        <v>476.5</v>
      </c>
      <c r="K138" s="151">
        <v>4.26</v>
      </c>
      <c r="L138" s="151">
        <v>22.58</v>
      </c>
      <c r="M138" s="151">
        <v>199000</v>
      </c>
      <c r="N138" s="151">
        <v>20600</v>
      </c>
      <c r="O138" s="151">
        <v>23.9</v>
      </c>
      <c r="P138" s="151">
        <v>7.69</v>
      </c>
      <c r="Q138" s="151">
        <v>6890</v>
      </c>
      <c r="R138" s="151">
        <v>1290</v>
      </c>
      <c r="S138" s="151">
        <v>7870</v>
      </c>
      <c r="T138" s="151">
        <v>1990</v>
      </c>
      <c r="U138" s="151">
        <v>0.89100000000000001</v>
      </c>
      <c r="V138" s="151">
        <v>15.9</v>
      </c>
      <c r="W138" s="151">
        <v>15</v>
      </c>
      <c r="X138" s="151">
        <v>1290</v>
      </c>
      <c r="Y138" s="151">
        <v>348</v>
      </c>
    </row>
    <row r="139" spans="2:25">
      <c r="B139" s="48">
        <v>48</v>
      </c>
      <c r="C139" s="79" t="s">
        <v>313</v>
      </c>
      <c r="D139" s="151">
        <v>218.8</v>
      </c>
      <c r="E139" s="151">
        <v>560.29999999999995</v>
      </c>
      <c r="F139" s="151">
        <v>317.39999999999998</v>
      </c>
      <c r="G139" s="151">
        <v>18.3</v>
      </c>
      <c r="H139" s="151">
        <v>29.2</v>
      </c>
      <c r="I139" s="151">
        <v>12.7</v>
      </c>
      <c r="J139" s="151">
        <v>476.5</v>
      </c>
      <c r="K139" s="151">
        <v>5.43</v>
      </c>
      <c r="L139" s="151">
        <v>26</v>
      </c>
      <c r="M139" s="151">
        <v>151000</v>
      </c>
      <c r="N139" s="151">
        <v>15600</v>
      </c>
      <c r="O139" s="151">
        <v>23.3</v>
      </c>
      <c r="P139" s="151">
        <v>7.48</v>
      </c>
      <c r="Q139" s="151">
        <v>5400</v>
      </c>
      <c r="R139" s="151">
        <v>982</v>
      </c>
      <c r="S139" s="151">
        <v>6120</v>
      </c>
      <c r="T139" s="151">
        <v>1510</v>
      </c>
      <c r="U139" s="151">
        <v>0.88400000000000001</v>
      </c>
      <c r="V139" s="151">
        <v>19.8</v>
      </c>
      <c r="W139" s="151">
        <v>11</v>
      </c>
      <c r="X139" s="151">
        <v>642</v>
      </c>
      <c r="Y139" s="151">
        <v>279</v>
      </c>
    </row>
    <row r="140" spans="2:25">
      <c r="B140" s="48">
        <v>49</v>
      </c>
      <c r="C140" s="79" t="s">
        <v>314</v>
      </c>
      <c r="D140" s="151">
        <v>181.5</v>
      </c>
      <c r="E140" s="151">
        <v>550.70000000000005</v>
      </c>
      <c r="F140" s="151">
        <v>314.5</v>
      </c>
      <c r="G140" s="151">
        <v>15.2</v>
      </c>
      <c r="H140" s="151">
        <v>24.4</v>
      </c>
      <c r="I140" s="151">
        <v>12.7</v>
      </c>
      <c r="J140" s="151">
        <v>476.5</v>
      </c>
      <c r="K140" s="151">
        <v>6.44</v>
      </c>
      <c r="L140" s="151">
        <v>31.3</v>
      </c>
      <c r="M140" s="151">
        <v>123000</v>
      </c>
      <c r="N140" s="151">
        <v>12700</v>
      </c>
      <c r="O140" s="151">
        <v>23.1</v>
      </c>
      <c r="P140" s="151">
        <v>7.4</v>
      </c>
      <c r="Q140" s="151">
        <v>4480</v>
      </c>
      <c r="R140" s="151">
        <v>806</v>
      </c>
      <c r="S140" s="151">
        <v>5040</v>
      </c>
      <c r="T140" s="151">
        <v>1240</v>
      </c>
      <c r="U140" s="151">
        <v>0.88700000000000001</v>
      </c>
      <c r="V140" s="151">
        <v>23.4</v>
      </c>
      <c r="W140" s="151">
        <v>8.77</v>
      </c>
      <c r="X140" s="151">
        <v>373</v>
      </c>
      <c r="Y140" s="151">
        <v>231</v>
      </c>
    </row>
    <row r="141" spans="2:25">
      <c r="B141" s="48">
        <v>50</v>
      </c>
      <c r="C141" s="79" t="s">
        <v>370</v>
      </c>
      <c r="D141" s="151">
        <v>150.6</v>
      </c>
      <c r="E141" s="151">
        <v>542.5</v>
      </c>
      <c r="F141" s="151">
        <v>312</v>
      </c>
      <c r="G141" s="151">
        <v>12.7</v>
      </c>
      <c r="H141" s="151">
        <v>20.3</v>
      </c>
      <c r="I141" s="151">
        <v>12.7</v>
      </c>
      <c r="J141" s="151">
        <v>476.5</v>
      </c>
      <c r="K141" s="151">
        <v>7.68</v>
      </c>
      <c r="L141" s="151">
        <v>37.5</v>
      </c>
      <c r="M141" s="151">
        <v>101000</v>
      </c>
      <c r="N141" s="151">
        <v>10300</v>
      </c>
      <c r="O141" s="151">
        <v>22.9</v>
      </c>
      <c r="P141" s="151">
        <v>7.32</v>
      </c>
      <c r="Q141" s="151">
        <v>3710</v>
      </c>
      <c r="R141" s="151">
        <v>659</v>
      </c>
      <c r="S141" s="151">
        <v>4150</v>
      </c>
      <c r="T141" s="151">
        <v>1010</v>
      </c>
      <c r="U141" s="151">
        <v>0.88600000000000001</v>
      </c>
      <c r="V141" s="151">
        <v>27.8</v>
      </c>
      <c r="W141" s="151">
        <v>7.01</v>
      </c>
      <c r="X141" s="151">
        <v>216</v>
      </c>
      <c r="Y141" s="151">
        <v>192</v>
      </c>
    </row>
    <row r="142" spans="2:25">
      <c r="B142" s="48">
        <v>51</v>
      </c>
      <c r="C142" s="79" t="s">
        <v>316</v>
      </c>
      <c r="D142" s="151">
        <v>138.30000000000001</v>
      </c>
      <c r="E142" s="151">
        <v>549.1</v>
      </c>
      <c r="F142" s="151">
        <v>213.9</v>
      </c>
      <c r="G142" s="151">
        <v>14.7</v>
      </c>
      <c r="H142" s="151">
        <v>23.6</v>
      </c>
      <c r="I142" s="151">
        <v>12.7</v>
      </c>
      <c r="J142" s="151">
        <v>476.5</v>
      </c>
      <c r="K142" s="151">
        <v>4.53</v>
      </c>
      <c r="L142" s="151">
        <v>32.4</v>
      </c>
      <c r="M142" s="151">
        <v>86100</v>
      </c>
      <c r="N142" s="151">
        <v>3860</v>
      </c>
      <c r="O142" s="151">
        <v>22.1</v>
      </c>
      <c r="P142" s="151">
        <v>4.68</v>
      </c>
      <c r="Q142" s="151">
        <v>3140</v>
      </c>
      <c r="R142" s="151">
        <v>361</v>
      </c>
      <c r="S142" s="151">
        <v>3610</v>
      </c>
      <c r="T142" s="151">
        <v>568</v>
      </c>
      <c r="U142" s="151">
        <v>0.873</v>
      </c>
      <c r="V142" s="151">
        <v>25</v>
      </c>
      <c r="W142" s="151">
        <v>2.67</v>
      </c>
      <c r="X142" s="151">
        <v>250</v>
      </c>
      <c r="Y142" s="151">
        <v>176</v>
      </c>
    </row>
    <row r="143" spans="2:25">
      <c r="B143" s="48">
        <v>52</v>
      </c>
      <c r="C143" s="79" t="s">
        <v>104</v>
      </c>
      <c r="D143" s="151">
        <v>122</v>
      </c>
      <c r="E143" s="151">
        <v>544.5</v>
      </c>
      <c r="F143" s="151">
        <v>211.9</v>
      </c>
      <c r="G143" s="151">
        <v>12.7</v>
      </c>
      <c r="H143" s="151">
        <v>21.3</v>
      </c>
      <c r="I143" s="151">
        <v>12.7</v>
      </c>
      <c r="J143" s="151">
        <v>476.5</v>
      </c>
      <c r="K143" s="151">
        <v>4.97</v>
      </c>
      <c r="L143" s="151">
        <v>37.5</v>
      </c>
      <c r="M143" s="151">
        <v>76000</v>
      </c>
      <c r="N143" s="151">
        <v>3390</v>
      </c>
      <c r="O143" s="151">
        <v>22.1</v>
      </c>
      <c r="P143" s="151">
        <v>4.67</v>
      </c>
      <c r="Q143" s="151">
        <v>2790</v>
      </c>
      <c r="R143" s="151">
        <v>320</v>
      </c>
      <c r="S143" s="151">
        <v>3200</v>
      </c>
      <c r="T143" s="151">
        <v>500</v>
      </c>
      <c r="U143" s="151">
        <v>0.878</v>
      </c>
      <c r="V143" s="151">
        <v>27.6</v>
      </c>
      <c r="W143" s="151">
        <v>2.3199999999999998</v>
      </c>
      <c r="X143" s="151">
        <v>178</v>
      </c>
      <c r="Y143" s="151">
        <v>155</v>
      </c>
    </row>
    <row r="144" spans="2:25">
      <c r="B144" s="48">
        <v>53</v>
      </c>
      <c r="C144" s="79" t="s">
        <v>105</v>
      </c>
      <c r="D144" s="151">
        <v>109</v>
      </c>
      <c r="E144" s="151">
        <v>539.5</v>
      </c>
      <c r="F144" s="151">
        <v>210.8</v>
      </c>
      <c r="G144" s="151">
        <v>11.6</v>
      </c>
      <c r="H144" s="151">
        <v>18.8</v>
      </c>
      <c r="I144" s="151">
        <v>12.7</v>
      </c>
      <c r="J144" s="151">
        <v>476.5</v>
      </c>
      <c r="K144" s="151">
        <v>5.61</v>
      </c>
      <c r="L144" s="151">
        <v>41.1</v>
      </c>
      <c r="M144" s="151">
        <v>66800</v>
      </c>
      <c r="N144" s="151">
        <v>2940</v>
      </c>
      <c r="O144" s="151">
        <v>21.9</v>
      </c>
      <c r="P144" s="151">
        <v>4.5999999999999996</v>
      </c>
      <c r="Q144" s="151">
        <v>2480</v>
      </c>
      <c r="R144" s="151">
        <v>279</v>
      </c>
      <c r="S144" s="151">
        <v>2830</v>
      </c>
      <c r="T144" s="151">
        <v>436</v>
      </c>
      <c r="U144" s="151">
        <v>0.875</v>
      </c>
      <c r="V144" s="151">
        <v>30.9</v>
      </c>
      <c r="W144" s="151">
        <v>1.99</v>
      </c>
      <c r="X144" s="151">
        <v>126</v>
      </c>
      <c r="Y144" s="151">
        <v>139</v>
      </c>
    </row>
    <row r="145" spans="2:25">
      <c r="B145" s="48">
        <v>54</v>
      </c>
      <c r="C145" s="79" t="s">
        <v>106</v>
      </c>
      <c r="D145" s="151">
        <v>101</v>
      </c>
      <c r="E145" s="151">
        <v>536.70000000000005</v>
      </c>
      <c r="F145" s="151">
        <v>210</v>
      </c>
      <c r="G145" s="151">
        <v>10.8</v>
      </c>
      <c r="H145" s="151">
        <v>17.399999999999999</v>
      </c>
      <c r="I145" s="151">
        <v>12.7</v>
      </c>
      <c r="J145" s="151">
        <v>476.5</v>
      </c>
      <c r="K145" s="151">
        <v>6.03</v>
      </c>
      <c r="L145" s="151">
        <v>44.1</v>
      </c>
      <c r="M145" s="151">
        <v>61500</v>
      </c>
      <c r="N145" s="151">
        <v>2690</v>
      </c>
      <c r="O145" s="151">
        <v>21.9</v>
      </c>
      <c r="P145" s="151">
        <v>4.57</v>
      </c>
      <c r="Q145" s="151">
        <v>2290</v>
      </c>
      <c r="R145" s="151">
        <v>256</v>
      </c>
      <c r="S145" s="151">
        <v>2610</v>
      </c>
      <c r="T145" s="151">
        <v>399</v>
      </c>
      <c r="U145" s="151">
        <v>0.873</v>
      </c>
      <c r="V145" s="151">
        <v>33.200000000000003</v>
      </c>
      <c r="W145" s="151">
        <v>1.81</v>
      </c>
      <c r="X145" s="151">
        <v>101</v>
      </c>
      <c r="Y145" s="151">
        <v>129</v>
      </c>
    </row>
    <row r="146" spans="2:25">
      <c r="B146" s="48">
        <v>55</v>
      </c>
      <c r="C146" s="79" t="s">
        <v>107</v>
      </c>
      <c r="D146" s="151">
        <v>92.1</v>
      </c>
      <c r="E146" s="151">
        <v>533.1</v>
      </c>
      <c r="F146" s="151">
        <v>209.3</v>
      </c>
      <c r="G146" s="151">
        <v>10.1</v>
      </c>
      <c r="H146" s="151">
        <v>15.6</v>
      </c>
      <c r="I146" s="151">
        <v>12.7</v>
      </c>
      <c r="J146" s="151">
        <v>476.5</v>
      </c>
      <c r="K146" s="151">
        <v>6.71</v>
      </c>
      <c r="L146" s="151">
        <v>47.2</v>
      </c>
      <c r="M146" s="151">
        <v>55200</v>
      </c>
      <c r="N146" s="151">
        <v>2390</v>
      </c>
      <c r="O146" s="151">
        <v>21.7</v>
      </c>
      <c r="P146" s="151">
        <v>4.51</v>
      </c>
      <c r="Q146" s="151">
        <v>2070</v>
      </c>
      <c r="R146" s="151">
        <v>228</v>
      </c>
      <c r="S146" s="151">
        <v>2360</v>
      </c>
      <c r="T146" s="151">
        <v>355</v>
      </c>
      <c r="U146" s="151">
        <v>0.873</v>
      </c>
      <c r="V146" s="151">
        <v>36.4</v>
      </c>
      <c r="W146" s="151">
        <v>1.6</v>
      </c>
      <c r="X146" s="151">
        <v>75.7</v>
      </c>
      <c r="Y146" s="151">
        <v>117</v>
      </c>
    </row>
    <row r="147" spans="2:25">
      <c r="B147" s="48">
        <v>56</v>
      </c>
      <c r="C147" s="79" t="s">
        <v>108</v>
      </c>
      <c r="D147" s="151">
        <v>82.2</v>
      </c>
      <c r="E147" s="151">
        <v>528.29999999999995</v>
      </c>
      <c r="F147" s="151">
        <v>208.8</v>
      </c>
      <c r="G147" s="151">
        <v>9.6</v>
      </c>
      <c r="H147" s="151">
        <v>13.2</v>
      </c>
      <c r="I147" s="151">
        <v>12.7</v>
      </c>
      <c r="J147" s="151">
        <v>476.5</v>
      </c>
      <c r="K147" s="151">
        <v>7.91</v>
      </c>
      <c r="L147" s="151">
        <v>49.6</v>
      </c>
      <c r="M147" s="151">
        <v>47500</v>
      </c>
      <c r="N147" s="151">
        <v>2010</v>
      </c>
      <c r="O147" s="151">
        <v>21.3</v>
      </c>
      <c r="P147" s="151">
        <v>4.38</v>
      </c>
      <c r="Q147" s="151">
        <v>1800</v>
      </c>
      <c r="R147" s="151">
        <v>192</v>
      </c>
      <c r="S147" s="151">
        <v>2060</v>
      </c>
      <c r="T147" s="151">
        <v>300</v>
      </c>
      <c r="U147" s="151">
        <v>0.86399999999999999</v>
      </c>
      <c r="V147" s="151">
        <v>41.5</v>
      </c>
      <c r="W147" s="151">
        <v>1.33</v>
      </c>
      <c r="X147" s="151">
        <v>51.5</v>
      </c>
      <c r="Y147" s="151">
        <v>105</v>
      </c>
    </row>
    <row r="148" spans="2:25">
      <c r="B148" s="48">
        <v>57</v>
      </c>
      <c r="C148" s="79" t="s">
        <v>317</v>
      </c>
      <c r="D148" s="151">
        <v>84.8</v>
      </c>
      <c r="E148" s="151">
        <v>534.9</v>
      </c>
      <c r="F148" s="151">
        <v>166.5</v>
      </c>
      <c r="G148" s="151">
        <v>10.3</v>
      </c>
      <c r="H148" s="151">
        <v>16.5</v>
      </c>
      <c r="I148" s="151">
        <v>12.7</v>
      </c>
      <c r="J148" s="151">
        <v>476.5</v>
      </c>
      <c r="K148" s="151">
        <v>5.05</v>
      </c>
      <c r="L148" s="151">
        <v>46.3</v>
      </c>
      <c r="M148" s="151">
        <v>48500</v>
      </c>
      <c r="N148" s="151">
        <v>1270</v>
      </c>
      <c r="O148" s="151">
        <v>21.2</v>
      </c>
      <c r="P148" s="151">
        <v>3.44</v>
      </c>
      <c r="Q148" s="151">
        <v>1820</v>
      </c>
      <c r="R148" s="151">
        <v>153</v>
      </c>
      <c r="S148" s="151">
        <v>2100</v>
      </c>
      <c r="T148" s="151">
        <v>243</v>
      </c>
      <c r="U148" s="151">
        <v>0.85899999999999999</v>
      </c>
      <c r="V148" s="151">
        <v>35.5</v>
      </c>
      <c r="W148" s="151">
        <v>0.85699999999999998</v>
      </c>
      <c r="X148" s="151">
        <v>73.8</v>
      </c>
      <c r="Y148" s="151">
        <v>108</v>
      </c>
    </row>
    <row r="149" spans="2:25">
      <c r="B149" s="48">
        <v>58</v>
      </c>
      <c r="C149" s="79" t="s">
        <v>371</v>
      </c>
      <c r="D149" s="151">
        <v>74.7</v>
      </c>
      <c r="E149" s="151">
        <v>529.1</v>
      </c>
      <c r="F149" s="151">
        <v>165.9</v>
      </c>
      <c r="G149" s="151">
        <v>9.6999999999999993</v>
      </c>
      <c r="H149" s="151">
        <v>13.6</v>
      </c>
      <c r="I149" s="151">
        <v>12.7</v>
      </c>
      <c r="J149" s="151">
        <v>476.5</v>
      </c>
      <c r="K149" s="151">
        <v>6.1</v>
      </c>
      <c r="L149" s="151">
        <v>49.1</v>
      </c>
      <c r="M149" s="151">
        <v>41100</v>
      </c>
      <c r="N149" s="151">
        <v>1040</v>
      </c>
      <c r="O149" s="151">
        <v>20.8</v>
      </c>
      <c r="P149" s="151">
        <v>3.3</v>
      </c>
      <c r="Q149" s="151">
        <v>1550</v>
      </c>
      <c r="R149" s="151">
        <v>125</v>
      </c>
      <c r="S149" s="151">
        <v>1810</v>
      </c>
      <c r="T149" s="151">
        <v>200</v>
      </c>
      <c r="U149" s="151">
        <v>0.85299999999999998</v>
      </c>
      <c r="V149" s="151">
        <v>41.1</v>
      </c>
      <c r="W149" s="151">
        <v>0.69099999999999995</v>
      </c>
      <c r="X149" s="151">
        <v>47.9</v>
      </c>
      <c r="Y149" s="151">
        <v>95.2</v>
      </c>
    </row>
    <row r="150" spans="2:25">
      <c r="B150" s="48">
        <v>59</v>
      </c>
      <c r="C150" s="79" t="s">
        <v>318</v>
      </c>
      <c r="D150" s="151">
        <v>65.7</v>
      </c>
      <c r="E150" s="151">
        <v>524.70000000000005</v>
      </c>
      <c r="F150" s="151">
        <v>165.1</v>
      </c>
      <c r="G150" s="151">
        <v>8.9</v>
      </c>
      <c r="H150" s="151">
        <v>11.4</v>
      </c>
      <c r="I150" s="151">
        <v>12.7</v>
      </c>
      <c r="J150" s="151">
        <v>476.5</v>
      </c>
      <c r="K150" s="151">
        <v>7.24</v>
      </c>
      <c r="L150" s="151">
        <v>53.5</v>
      </c>
      <c r="M150" s="151">
        <v>35000</v>
      </c>
      <c r="N150" s="151">
        <v>859</v>
      </c>
      <c r="O150" s="151">
        <v>20.5</v>
      </c>
      <c r="P150" s="151">
        <v>3.2</v>
      </c>
      <c r="Q150" s="151">
        <v>1340</v>
      </c>
      <c r="R150" s="151">
        <v>104</v>
      </c>
      <c r="S150" s="151">
        <v>1560</v>
      </c>
      <c r="T150" s="151">
        <v>166</v>
      </c>
      <c r="U150" s="151">
        <v>0.84699999999999998</v>
      </c>
      <c r="V150" s="151">
        <v>47</v>
      </c>
      <c r="W150" s="151">
        <v>0.56599999999999995</v>
      </c>
      <c r="X150" s="151">
        <v>32</v>
      </c>
      <c r="Y150" s="151">
        <v>83.7</v>
      </c>
    </row>
    <row r="151" spans="2:25">
      <c r="B151" s="48">
        <v>60</v>
      </c>
      <c r="C151" s="79" t="s">
        <v>319</v>
      </c>
      <c r="D151" s="151">
        <v>161.4</v>
      </c>
      <c r="E151" s="151">
        <v>492</v>
      </c>
      <c r="F151" s="151">
        <v>199.4</v>
      </c>
      <c r="G151" s="151">
        <v>18</v>
      </c>
      <c r="H151" s="151">
        <v>32</v>
      </c>
      <c r="I151" s="151">
        <v>10.199999999999999</v>
      </c>
      <c r="J151" s="151">
        <v>407.6</v>
      </c>
      <c r="K151" s="151">
        <v>3.12</v>
      </c>
      <c r="L151" s="151">
        <v>22.6</v>
      </c>
      <c r="M151" s="151">
        <v>79800</v>
      </c>
      <c r="N151" s="151">
        <v>4250</v>
      </c>
      <c r="O151" s="151">
        <v>19.7</v>
      </c>
      <c r="P151" s="151">
        <v>4.55</v>
      </c>
      <c r="Q151" s="151">
        <v>3240</v>
      </c>
      <c r="R151" s="151">
        <v>426</v>
      </c>
      <c r="S151" s="151">
        <v>3780</v>
      </c>
      <c r="T151" s="151">
        <v>672</v>
      </c>
      <c r="U151" s="151">
        <v>0.88100000000000001</v>
      </c>
      <c r="V151" s="151">
        <v>16.5</v>
      </c>
      <c r="W151" s="151">
        <v>2.25</v>
      </c>
      <c r="X151" s="151">
        <v>515</v>
      </c>
      <c r="Y151" s="151">
        <v>206</v>
      </c>
    </row>
    <row r="152" spans="2:25">
      <c r="B152" s="48">
        <v>61</v>
      </c>
      <c r="C152" s="79" t="s">
        <v>320</v>
      </c>
      <c r="D152" s="151">
        <v>133.30000000000001</v>
      </c>
      <c r="E152" s="151">
        <v>480.6</v>
      </c>
      <c r="F152" s="151">
        <v>196.7</v>
      </c>
      <c r="G152" s="151">
        <v>15.3</v>
      </c>
      <c r="H152" s="151">
        <v>26.3</v>
      </c>
      <c r="I152" s="151">
        <v>10.199999999999999</v>
      </c>
      <c r="J152" s="151">
        <v>407.6</v>
      </c>
      <c r="K152" s="151">
        <v>3.74</v>
      </c>
      <c r="L152" s="151">
        <v>26.6</v>
      </c>
      <c r="M152" s="151">
        <v>63800</v>
      </c>
      <c r="N152" s="151">
        <v>3350</v>
      </c>
      <c r="O152" s="151">
        <v>19.399999999999999</v>
      </c>
      <c r="P152" s="151">
        <v>4.4400000000000004</v>
      </c>
      <c r="Q152" s="151">
        <v>2660</v>
      </c>
      <c r="R152" s="151">
        <v>341</v>
      </c>
      <c r="S152" s="151">
        <v>3070</v>
      </c>
      <c r="T152" s="151">
        <v>535</v>
      </c>
      <c r="U152" s="151">
        <v>0.88</v>
      </c>
      <c r="V152" s="151">
        <v>19.600000000000001</v>
      </c>
      <c r="W152" s="151">
        <v>1.73</v>
      </c>
      <c r="X152" s="151">
        <v>292</v>
      </c>
      <c r="Y152" s="151">
        <v>170</v>
      </c>
    </row>
    <row r="153" spans="2:25">
      <c r="B153" s="48">
        <v>62</v>
      </c>
      <c r="C153" s="79" t="s">
        <v>321</v>
      </c>
      <c r="D153" s="151">
        <v>105.8</v>
      </c>
      <c r="E153" s="151">
        <v>469.2</v>
      </c>
      <c r="F153" s="151">
        <v>194</v>
      </c>
      <c r="G153" s="151">
        <v>12.6</v>
      </c>
      <c r="H153" s="151">
        <v>20.6</v>
      </c>
      <c r="I153" s="151">
        <v>10.199999999999999</v>
      </c>
      <c r="J153" s="151">
        <v>407.6</v>
      </c>
      <c r="K153" s="151">
        <v>4.71</v>
      </c>
      <c r="L153" s="151">
        <v>32.299999999999997</v>
      </c>
      <c r="M153" s="151">
        <v>48900</v>
      </c>
      <c r="N153" s="151">
        <v>2510</v>
      </c>
      <c r="O153" s="151">
        <v>19</v>
      </c>
      <c r="P153" s="151">
        <v>4.32</v>
      </c>
      <c r="Q153" s="151">
        <v>2080</v>
      </c>
      <c r="R153" s="151">
        <v>259</v>
      </c>
      <c r="S153" s="151">
        <v>2390</v>
      </c>
      <c r="T153" s="151">
        <v>405</v>
      </c>
      <c r="U153" s="151">
        <v>0.876</v>
      </c>
      <c r="V153" s="151">
        <v>24.5</v>
      </c>
      <c r="W153" s="151">
        <v>1.27</v>
      </c>
      <c r="X153" s="151">
        <v>146</v>
      </c>
      <c r="Y153" s="151">
        <v>135</v>
      </c>
    </row>
    <row r="154" spans="2:25">
      <c r="B154" s="48">
        <v>63</v>
      </c>
      <c r="C154" s="79" t="s">
        <v>109</v>
      </c>
      <c r="D154" s="151">
        <v>98.3</v>
      </c>
      <c r="E154" s="151">
        <v>467.2</v>
      </c>
      <c r="F154" s="151">
        <v>192.8</v>
      </c>
      <c r="G154" s="151">
        <v>11.4</v>
      </c>
      <c r="H154" s="151">
        <v>19.600000000000001</v>
      </c>
      <c r="I154" s="151">
        <v>10.199999999999999</v>
      </c>
      <c r="J154" s="151">
        <v>407.6</v>
      </c>
      <c r="K154" s="151">
        <v>4.92</v>
      </c>
      <c r="L154" s="151">
        <v>35.799999999999997</v>
      </c>
      <c r="M154" s="151">
        <v>45700</v>
      </c>
      <c r="N154" s="151">
        <v>2350</v>
      </c>
      <c r="O154" s="151">
        <v>19.100000000000001</v>
      </c>
      <c r="P154" s="151">
        <v>4.33</v>
      </c>
      <c r="Q154" s="151">
        <v>1960</v>
      </c>
      <c r="R154" s="151">
        <v>243</v>
      </c>
      <c r="S154" s="151">
        <v>2230</v>
      </c>
      <c r="T154" s="151">
        <v>379</v>
      </c>
      <c r="U154" s="151">
        <v>0.88100000000000001</v>
      </c>
      <c r="V154" s="151">
        <v>25.8</v>
      </c>
      <c r="W154" s="151">
        <v>1.18</v>
      </c>
      <c r="X154" s="151">
        <v>121</v>
      </c>
      <c r="Y154" s="151">
        <v>125</v>
      </c>
    </row>
    <row r="155" spans="2:25">
      <c r="B155" s="48">
        <v>64</v>
      </c>
      <c r="C155" s="79" t="s">
        <v>110</v>
      </c>
      <c r="D155" s="151">
        <v>89.3</v>
      </c>
      <c r="E155" s="151">
        <v>463.4</v>
      </c>
      <c r="F155" s="151">
        <v>191.9</v>
      </c>
      <c r="G155" s="151">
        <v>10.5</v>
      </c>
      <c r="H155" s="151">
        <v>17.7</v>
      </c>
      <c r="I155" s="151">
        <v>10.199999999999999</v>
      </c>
      <c r="J155" s="151">
        <v>407.6</v>
      </c>
      <c r="K155" s="151">
        <v>5.42</v>
      </c>
      <c r="L155" s="151">
        <v>38.799999999999997</v>
      </c>
      <c r="M155" s="151">
        <v>41000</v>
      </c>
      <c r="N155" s="151">
        <v>2090</v>
      </c>
      <c r="O155" s="151">
        <v>19</v>
      </c>
      <c r="P155" s="151">
        <v>4.29</v>
      </c>
      <c r="Q155" s="151">
        <v>1770</v>
      </c>
      <c r="R155" s="151">
        <v>218</v>
      </c>
      <c r="S155" s="151">
        <v>2010</v>
      </c>
      <c r="T155" s="151">
        <v>338</v>
      </c>
      <c r="U155" s="151">
        <v>0.877</v>
      </c>
      <c r="V155" s="151">
        <v>28.3</v>
      </c>
      <c r="W155" s="151">
        <v>1.04</v>
      </c>
      <c r="X155" s="151">
        <v>90.7</v>
      </c>
      <c r="Y155" s="151">
        <v>114</v>
      </c>
    </row>
    <row r="156" spans="2:25">
      <c r="B156" s="48">
        <v>65</v>
      </c>
      <c r="C156" s="79" t="s">
        <v>111</v>
      </c>
      <c r="D156" s="151">
        <v>82</v>
      </c>
      <c r="E156" s="151">
        <v>460</v>
      </c>
      <c r="F156" s="151">
        <v>191.3</v>
      </c>
      <c r="G156" s="151">
        <v>9.9</v>
      </c>
      <c r="H156" s="151">
        <v>16</v>
      </c>
      <c r="I156" s="151">
        <v>10.199999999999999</v>
      </c>
      <c r="J156" s="151">
        <v>407.6</v>
      </c>
      <c r="K156" s="151">
        <v>5.98</v>
      </c>
      <c r="L156" s="151">
        <v>41.2</v>
      </c>
      <c r="M156" s="151">
        <v>37100</v>
      </c>
      <c r="N156" s="151">
        <v>1870</v>
      </c>
      <c r="O156" s="151">
        <v>18.8</v>
      </c>
      <c r="P156" s="151">
        <v>4.2300000000000004</v>
      </c>
      <c r="Q156" s="151">
        <v>1610</v>
      </c>
      <c r="R156" s="151">
        <v>196</v>
      </c>
      <c r="S156" s="151">
        <v>1830</v>
      </c>
      <c r="T156" s="151">
        <v>304</v>
      </c>
      <c r="U156" s="151">
        <v>0.879</v>
      </c>
      <c r="V156" s="151">
        <v>30.8</v>
      </c>
      <c r="W156" s="151">
        <v>0.92200000000000004</v>
      </c>
      <c r="X156" s="151">
        <v>69.2</v>
      </c>
      <c r="Y156" s="151">
        <v>104</v>
      </c>
    </row>
    <row r="157" spans="2:25">
      <c r="B157" s="48">
        <v>66</v>
      </c>
      <c r="C157" s="79" t="s">
        <v>112</v>
      </c>
      <c r="D157" s="151">
        <v>74.3</v>
      </c>
      <c r="E157" s="151">
        <v>457</v>
      </c>
      <c r="F157" s="151">
        <v>190.4</v>
      </c>
      <c r="G157" s="151">
        <v>9</v>
      </c>
      <c r="H157" s="151">
        <v>14.5</v>
      </c>
      <c r="I157" s="151">
        <v>10.199999999999999</v>
      </c>
      <c r="J157" s="151">
        <v>407.6</v>
      </c>
      <c r="K157" s="151">
        <v>6.57</v>
      </c>
      <c r="L157" s="151">
        <v>45.3</v>
      </c>
      <c r="M157" s="151">
        <v>33300</v>
      </c>
      <c r="N157" s="151">
        <v>1670</v>
      </c>
      <c r="O157" s="151">
        <v>18.8</v>
      </c>
      <c r="P157" s="151">
        <v>4.2</v>
      </c>
      <c r="Q157" s="151">
        <v>1460</v>
      </c>
      <c r="R157" s="151">
        <v>176</v>
      </c>
      <c r="S157" s="151">
        <v>1650</v>
      </c>
      <c r="T157" s="151">
        <v>272</v>
      </c>
      <c r="U157" s="151">
        <v>0.876</v>
      </c>
      <c r="V157" s="151">
        <v>33.799999999999997</v>
      </c>
      <c r="W157" s="151">
        <v>0.81799999999999995</v>
      </c>
      <c r="X157" s="151">
        <v>51.8</v>
      </c>
      <c r="Y157" s="151">
        <v>94.6</v>
      </c>
    </row>
    <row r="158" spans="2:25">
      <c r="B158" s="48">
        <v>67</v>
      </c>
      <c r="C158" s="79" t="s">
        <v>113</v>
      </c>
      <c r="D158" s="151">
        <v>67.099999999999994</v>
      </c>
      <c r="E158" s="151">
        <v>453.4</v>
      </c>
      <c r="F158" s="151">
        <v>189.9</v>
      </c>
      <c r="G158" s="151">
        <v>8.5</v>
      </c>
      <c r="H158" s="151">
        <v>12.7</v>
      </c>
      <c r="I158" s="151">
        <v>10.199999999999999</v>
      </c>
      <c r="J158" s="151">
        <v>407.6</v>
      </c>
      <c r="K158" s="151">
        <v>7.48</v>
      </c>
      <c r="L158" s="151">
        <v>48</v>
      </c>
      <c r="M158" s="151">
        <v>29400</v>
      </c>
      <c r="N158" s="151">
        <v>1450</v>
      </c>
      <c r="O158" s="151">
        <v>18.5</v>
      </c>
      <c r="P158" s="151">
        <v>4.12</v>
      </c>
      <c r="Q158" s="151">
        <v>1300</v>
      </c>
      <c r="R158" s="151">
        <v>153</v>
      </c>
      <c r="S158" s="151">
        <v>1470</v>
      </c>
      <c r="T158" s="151">
        <v>237</v>
      </c>
      <c r="U158" s="151">
        <v>0.872</v>
      </c>
      <c r="V158" s="151">
        <v>37.9</v>
      </c>
      <c r="W158" s="151">
        <v>0.70499999999999996</v>
      </c>
      <c r="X158" s="151">
        <v>37.1</v>
      </c>
      <c r="Y158" s="151">
        <v>85.5</v>
      </c>
    </row>
    <row r="159" spans="2:25">
      <c r="B159" s="48">
        <v>68</v>
      </c>
      <c r="C159" s="79" t="s">
        <v>114</v>
      </c>
      <c r="D159" s="151">
        <v>82.1</v>
      </c>
      <c r="E159" s="151">
        <v>465.8</v>
      </c>
      <c r="F159" s="151">
        <v>155.30000000000001</v>
      </c>
      <c r="G159" s="151">
        <v>10.5</v>
      </c>
      <c r="H159" s="151">
        <v>18.899999999999999</v>
      </c>
      <c r="I159" s="151">
        <v>10.199999999999999</v>
      </c>
      <c r="J159" s="151">
        <v>407.6</v>
      </c>
      <c r="K159" s="151">
        <v>4.1100000000000003</v>
      </c>
      <c r="L159" s="151">
        <v>38.799999999999997</v>
      </c>
      <c r="M159" s="151">
        <v>36600</v>
      </c>
      <c r="N159" s="151">
        <v>1180</v>
      </c>
      <c r="O159" s="151">
        <v>18.7</v>
      </c>
      <c r="P159" s="151">
        <v>3.37</v>
      </c>
      <c r="Q159" s="151">
        <v>1570</v>
      </c>
      <c r="R159" s="151">
        <v>153</v>
      </c>
      <c r="S159" s="151">
        <v>1810</v>
      </c>
      <c r="T159" s="151">
        <v>240</v>
      </c>
      <c r="U159" s="151">
        <v>0.87</v>
      </c>
      <c r="V159" s="151">
        <v>27.5</v>
      </c>
      <c r="W159" s="151">
        <v>0.59099999999999997</v>
      </c>
      <c r="X159" s="151">
        <v>89.2</v>
      </c>
      <c r="Y159" s="151">
        <v>105</v>
      </c>
    </row>
    <row r="160" spans="2:25">
      <c r="B160" s="48">
        <v>69</v>
      </c>
      <c r="C160" s="79" t="s">
        <v>115</v>
      </c>
      <c r="D160" s="151">
        <v>74.2</v>
      </c>
      <c r="E160" s="151">
        <v>462</v>
      </c>
      <c r="F160" s="151">
        <v>154.4</v>
      </c>
      <c r="G160" s="151">
        <v>9.6</v>
      </c>
      <c r="H160" s="151">
        <v>17</v>
      </c>
      <c r="I160" s="151">
        <v>10.199999999999999</v>
      </c>
      <c r="J160" s="151">
        <v>407.6</v>
      </c>
      <c r="K160" s="151">
        <v>4.54</v>
      </c>
      <c r="L160" s="151">
        <v>42.5</v>
      </c>
      <c r="M160" s="151">
        <v>32700</v>
      </c>
      <c r="N160" s="151">
        <v>1050</v>
      </c>
      <c r="O160" s="151">
        <v>18.600000000000001</v>
      </c>
      <c r="P160" s="151">
        <v>3.33</v>
      </c>
      <c r="Q160" s="151">
        <v>1410</v>
      </c>
      <c r="R160" s="151">
        <v>136</v>
      </c>
      <c r="S160" s="151">
        <v>1630</v>
      </c>
      <c r="T160" s="151">
        <v>213</v>
      </c>
      <c r="U160" s="151">
        <v>0.874</v>
      </c>
      <c r="V160" s="151">
        <v>30.1</v>
      </c>
      <c r="W160" s="151">
        <v>0.51800000000000002</v>
      </c>
      <c r="X160" s="151">
        <v>65.900000000000006</v>
      </c>
      <c r="Y160" s="151">
        <v>94.5</v>
      </c>
    </row>
    <row r="161" spans="2:25">
      <c r="B161" s="48">
        <v>70</v>
      </c>
      <c r="C161" s="79" t="s">
        <v>116</v>
      </c>
      <c r="D161" s="151">
        <v>67.2</v>
      </c>
      <c r="E161" s="151">
        <v>458</v>
      </c>
      <c r="F161" s="151">
        <v>153.80000000000001</v>
      </c>
      <c r="G161" s="151">
        <v>9</v>
      </c>
      <c r="H161" s="151">
        <v>15</v>
      </c>
      <c r="I161" s="151">
        <v>10.199999999999999</v>
      </c>
      <c r="J161" s="151">
        <v>407.6</v>
      </c>
      <c r="K161" s="151">
        <v>5.13</v>
      </c>
      <c r="L161" s="151">
        <v>45.3</v>
      </c>
      <c r="M161" s="151">
        <v>28900</v>
      </c>
      <c r="N161" s="151">
        <v>913</v>
      </c>
      <c r="O161" s="151">
        <v>18.399999999999999</v>
      </c>
      <c r="P161" s="151">
        <v>3.27</v>
      </c>
      <c r="Q161" s="151">
        <v>1260</v>
      </c>
      <c r="R161" s="151">
        <v>119</v>
      </c>
      <c r="S161" s="151">
        <v>1450</v>
      </c>
      <c r="T161" s="151">
        <v>187</v>
      </c>
      <c r="U161" s="151">
        <v>0.86699999999999999</v>
      </c>
      <c r="V161" s="151">
        <v>33.6</v>
      </c>
      <c r="W161" s="151">
        <v>0.44800000000000001</v>
      </c>
      <c r="X161" s="151">
        <v>47.7</v>
      </c>
      <c r="Y161" s="151">
        <v>85.6</v>
      </c>
    </row>
    <row r="162" spans="2:25">
      <c r="B162" s="48">
        <v>71</v>
      </c>
      <c r="C162" s="79" t="s">
        <v>117</v>
      </c>
      <c r="D162" s="151">
        <v>59.8</v>
      </c>
      <c r="E162" s="151">
        <v>454.6</v>
      </c>
      <c r="F162" s="151">
        <v>152.9</v>
      </c>
      <c r="G162" s="151">
        <v>8.1</v>
      </c>
      <c r="H162" s="151">
        <v>13.3</v>
      </c>
      <c r="I162" s="151">
        <v>10.199999999999999</v>
      </c>
      <c r="J162" s="151">
        <v>407.6</v>
      </c>
      <c r="K162" s="151">
        <v>5.75</v>
      </c>
      <c r="L162" s="151">
        <v>50.3</v>
      </c>
      <c r="M162" s="151">
        <v>25500</v>
      </c>
      <c r="N162" s="151">
        <v>795</v>
      </c>
      <c r="O162" s="151">
        <v>18.3</v>
      </c>
      <c r="P162" s="151">
        <v>3.23</v>
      </c>
      <c r="Q162" s="151">
        <v>1120</v>
      </c>
      <c r="R162" s="151">
        <v>104</v>
      </c>
      <c r="S162" s="151">
        <v>1290</v>
      </c>
      <c r="T162" s="151">
        <v>163</v>
      </c>
      <c r="U162" s="151">
        <v>0.86899999999999999</v>
      </c>
      <c r="V162" s="151">
        <v>37.5</v>
      </c>
      <c r="W162" s="151">
        <v>0.38700000000000001</v>
      </c>
      <c r="X162" s="151">
        <v>33.799999999999997</v>
      </c>
      <c r="Y162" s="151">
        <v>76.2</v>
      </c>
    </row>
    <row r="163" spans="2:25">
      <c r="B163" s="48">
        <v>72</v>
      </c>
      <c r="C163" s="79" t="s">
        <v>118</v>
      </c>
      <c r="D163" s="151">
        <v>52.3</v>
      </c>
      <c r="E163" s="151">
        <v>449.8</v>
      </c>
      <c r="F163" s="151">
        <v>152.4</v>
      </c>
      <c r="G163" s="151">
        <v>7.6</v>
      </c>
      <c r="H163" s="151">
        <v>10.9</v>
      </c>
      <c r="I163" s="151">
        <v>10.199999999999999</v>
      </c>
      <c r="J163" s="151">
        <v>407.6</v>
      </c>
      <c r="K163" s="151">
        <v>6.99</v>
      </c>
      <c r="L163" s="151">
        <v>53.6</v>
      </c>
      <c r="M163" s="151">
        <v>21400</v>
      </c>
      <c r="N163" s="151">
        <v>645</v>
      </c>
      <c r="O163" s="151">
        <v>17.899999999999999</v>
      </c>
      <c r="P163" s="151">
        <v>3.11</v>
      </c>
      <c r="Q163" s="151">
        <v>950</v>
      </c>
      <c r="R163" s="151">
        <v>84.6</v>
      </c>
      <c r="S163" s="151">
        <v>1100</v>
      </c>
      <c r="T163" s="151">
        <v>133</v>
      </c>
      <c r="U163" s="151">
        <v>0.86099999999999999</v>
      </c>
      <c r="V163" s="151">
        <v>43.8</v>
      </c>
      <c r="W163" s="151">
        <v>0.311</v>
      </c>
      <c r="X163" s="151">
        <v>21.4</v>
      </c>
      <c r="Y163" s="151">
        <v>66.599999999999994</v>
      </c>
    </row>
    <row r="164" spans="2:25">
      <c r="B164" s="48">
        <v>73</v>
      </c>
      <c r="C164" s="79" t="s">
        <v>322</v>
      </c>
      <c r="D164" s="151">
        <v>85.3</v>
      </c>
      <c r="E164" s="151">
        <v>417.2</v>
      </c>
      <c r="F164" s="151">
        <v>181.9</v>
      </c>
      <c r="G164" s="151">
        <v>10.9</v>
      </c>
      <c r="H164" s="151">
        <v>18.2</v>
      </c>
      <c r="I164" s="151">
        <v>10.199999999999999</v>
      </c>
      <c r="J164" s="151">
        <v>360.4</v>
      </c>
      <c r="K164" s="151">
        <v>5</v>
      </c>
      <c r="L164" s="151">
        <v>33.1</v>
      </c>
      <c r="M164" s="151">
        <v>31700</v>
      </c>
      <c r="N164" s="151">
        <v>1830</v>
      </c>
      <c r="O164" s="151">
        <v>17.100000000000001</v>
      </c>
      <c r="P164" s="151">
        <v>4.1100000000000003</v>
      </c>
      <c r="Q164" s="151">
        <v>1520</v>
      </c>
      <c r="R164" s="151">
        <v>201</v>
      </c>
      <c r="S164" s="151">
        <v>1730</v>
      </c>
      <c r="T164" s="151">
        <v>313</v>
      </c>
      <c r="U164" s="151">
        <v>0.879</v>
      </c>
      <c r="V164" s="151">
        <v>24.4</v>
      </c>
      <c r="W164" s="151">
        <v>0.72799999999999998</v>
      </c>
      <c r="X164" s="151">
        <v>93</v>
      </c>
      <c r="Y164" s="151">
        <v>109</v>
      </c>
    </row>
    <row r="165" spans="2:25">
      <c r="B165" s="48">
        <v>74</v>
      </c>
      <c r="C165" s="79" t="s">
        <v>119</v>
      </c>
      <c r="D165" s="151">
        <v>74.2</v>
      </c>
      <c r="E165" s="151">
        <v>412.8</v>
      </c>
      <c r="F165" s="151">
        <v>179.5</v>
      </c>
      <c r="G165" s="151">
        <v>9.5</v>
      </c>
      <c r="H165" s="151">
        <v>16</v>
      </c>
      <c r="I165" s="151">
        <v>10.199999999999999</v>
      </c>
      <c r="J165" s="151">
        <v>360.4</v>
      </c>
      <c r="K165" s="151">
        <v>5.61</v>
      </c>
      <c r="L165" s="151">
        <v>37.9</v>
      </c>
      <c r="M165" s="151">
        <v>27300</v>
      </c>
      <c r="N165" s="151">
        <v>1550</v>
      </c>
      <c r="O165" s="151">
        <v>17</v>
      </c>
      <c r="P165" s="151">
        <v>4.04</v>
      </c>
      <c r="Q165" s="151">
        <v>1320</v>
      </c>
      <c r="R165" s="151">
        <v>172</v>
      </c>
      <c r="S165" s="151">
        <v>1500</v>
      </c>
      <c r="T165" s="151">
        <v>267</v>
      </c>
      <c r="U165" s="151">
        <v>0.88200000000000001</v>
      </c>
      <c r="V165" s="151">
        <v>27.5</v>
      </c>
      <c r="W165" s="151">
        <v>0.60799999999999998</v>
      </c>
      <c r="X165" s="151">
        <v>62.8</v>
      </c>
      <c r="Y165" s="151">
        <v>94.5</v>
      </c>
    </row>
    <row r="166" spans="2:25">
      <c r="B166" s="48">
        <v>75</v>
      </c>
      <c r="C166" s="79" t="s">
        <v>120</v>
      </c>
      <c r="D166" s="151">
        <v>67.099999999999994</v>
      </c>
      <c r="E166" s="151">
        <v>409.4</v>
      </c>
      <c r="F166" s="151">
        <v>178.8</v>
      </c>
      <c r="G166" s="151">
        <v>8.8000000000000007</v>
      </c>
      <c r="H166" s="151">
        <v>14.3</v>
      </c>
      <c r="I166" s="151">
        <v>10.199999999999999</v>
      </c>
      <c r="J166" s="151">
        <v>360.4</v>
      </c>
      <c r="K166" s="151">
        <v>6.25</v>
      </c>
      <c r="L166" s="151">
        <v>41</v>
      </c>
      <c r="M166" s="151">
        <v>24300</v>
      </c>
      <c r="N166" s="151">
        <v>1360</v>
      </c>
      <c r="O166" s="151">
        <v>16.899999999999999</v>
      </c>
      <c r="P166" s="151">
        <v>3.99</v>
      </c>
      <c r="Q166" s="151">
        <v>1190</v>
      </c>
      <c r="R166" s="151">
        <v>153</v>
      </c>
      <c r="S166" s="151">
        <v>1350</v>
      </c>
      <c r="T166" s="151">
        <v>237</v>
      </c>
      <c r="U166" s="151">
        <v>0.88</v>
      </c>
      <c r="V166" s="151">
        <v>30.5</v>
      </c>
      <c r="W166" s="151">
        <v>0.53300000000000003</v>
      </c>
      <c r="X166" s="151">
        <v>46.1</v>
      </c>
      <c r="Y166" s="151">
        <v>85.5</v>
      </c>
    </row>
    <row r="167" spans="2:25">
      <c r="B167" s="48">
        <v>76</v>
      </c>
      <c r="C167" s="79" t="s">
        <v>121</v>
      </c>
      <c r="D167" s="151">
        <v>60.1</v>
      </c>
      <c r="E167" s="151">
        <v>406.4</v>
      </c>
      <c r="F167" s="151">
        <v>177.9</v>
      </c>
      <c r="G167" s="151">
        <v>7.9</v>
      </c>
      <c r="H167" s="151">
        <v>12.8</v>
      </c>
      <c r="I167" s="151">
        <v>10.199999999999999</v>
      </c>
      <c r="J167" s="151">
        <v>360.4</v>
      </c>
      <c r="K167" s="151">
        <v>6.95</v>
      </c>
      <c r="L167" s="151">
        <v>45.6</v>
      </c>
      <c r="M167" s="151">
        <v>21600</v>
      </c>
      <c r="N167" s="151">
        <v>1200</v>
      </c>
      <c r="O167" s="151">
        <v>16.8</v>
      </c>
      <c r="P167" s="151">
        <v>3.97</v>
      </c>
      <c r="Q167" s="151">
        <v>1060</v>
      </c>
      <c r="R167" s="151">
        <v>135</v>
      </c>
      <c r="S167" s="151">
        <v>1200</v>
      </c>
      <c r="T167" s="151">
        <v>209</v>
      </c>
      <c r="U167" s="151">
        <v>0.88</v>
      </c>
      <c r="V167" s="151">
        <v>33.799999999999997</v>
      </c>
      <c r="W167" s="151">
        <v>0.46600000000000003</v>
      </c>
      <c r="X167" s="151">
        <v>33.299999999999997</v>
      </c>
      <c r="Y167" s="151">
        <v>76.5</v>
      </c>
    </row>
    <row r="168" spans="2:25">
      <c r="B168" s="48">
        <v>77</v>
      </c>
      <c r="C168" s="79" t="s">
        <v>122</v>
      </c>
      <c r="D168" s="151">
        <v>54.1</v>
      </c>
      <c r="E168" s="151">
        <v>402.6</v>
      </c>
      <c r="F168" s="151">
        <v>177.7</v>
      </c>
      <c r="G168" s="151">
        <v>7.7</v>
      </c>
      <c r="H168" s="151">
        <v>10.9</v>
      </c>
      <c r="I168" s="151">
        <v>10.199999999999999</v>
      </c>
      <c r="J168" s="151">
        <v>360.4</v>
      </c>
      <c r="K168" s="151">
        <v>8.15</v>
      </c>
      <c r="L168" s="151">
        <v>46.8</v>
      </c>
      <c r="M168" s="151">
        <v>18700</v>
      </c>
      <c r="N168" s="151">
        <v>1020</v>
      </c>
      <c r="O168" s="151">
        <v>16.5</v>
      </c>
      <c r="P168" s="151">
        <v>3.85</v>
      </c>
      <c r="Q168" s="151">
        <v>930</v>
      </c>
      <c r="R168" s="151">
        <v>115</v>
      </c>
      <c r="S168" s="151">
        <v>1050</v>
      </c>
      <c r="T168" s="151">
        <v>178</v>
      </c>
      <c r="U168" s="151">
        <v>0.86899999999999999</v>
      </c>
      <c r="V168" s="151">
        <v>38.299999999999997</v>
      </c>
      <c r="W168" s="151">
        <v>0.39200000000000002</v>
      </c>
      <c r="X168" s="151">
        <v>23.1</v>
      </c>
      <c r="Y168" s="151">
        <v>69</v>
      </c>
    </row>
    <row r="169" spans="2:25">
      <c r="B169" s="48">
        <v>78</v>
      </c>
      <c r="C169" s="79" t="s">
        <v>323</v>
      </c>
      <c r="D169" s="151">
        <v>53.3</v>
      </c>
      <c r="E169" s="151">
        <v>406.6</v>
      </c>
      <c r="F169" s="151">
        <v>143.30000000000001</v>
      </c>
      <c r="G169" s="151">
        <v>7.9</v>
      </c>
      <c r="H169" s="151">
        <v>12.9</v>
      </c>
      <c r="I169" s="151">
        <v>10.199999999999999</v>
      </c>
      <c r="J169" s="151">
        <v>360.4</v>
      </c>
      <c r="K169" s="151">
        <v>5.55</v>
      </c>
      <c r="L169" s="151">
        <v>45.6</v>
      </c>
      <c r="M169" s="151">
        <v>18300</v>
      </c>
      <c r="N169" s="151">
        <v>635</v>
      </c>
      <c r="O169" s="151">
        <v>16.399999999999999</v>
      </c>
      <c r="P169" s="151">
        <v>3.06</v>
      </c>
      <c r="Q169" s="151">
        <v>899</v>
      </c>
      <c r="R169" s="151">
        <v>88.6</v>
      </c>
      <c r="S169" s="151">
        <v>1030</v>
      </c>
      <c r="T169" s="151">
        <v>139</v>
      </c>
      <c r="U169" s="151">
        <v>0.87</v>
      </c>
      <c r="V169" s="151">
        <v>34.1</v>
      </c>
      <c r="W169" s="151">
        <v>0.246</v>
      </c>
      <c r="X169" s="151">
        <v>29</v>
      </c>
      <c r="Y169" s="151">
        <v>67.900000000000006</v>
      </c>
    </row>
    <row r="170" spans="2:25">
      <c r="B170" s="48">
        <v>79</v>
      </c>
      <c r="C170" s="79" t="s">
        <v>123</v>
      </c>
      <c r="D170" s="151">
        <v>46</v>
      </c>
      <c r="E170" s="151">
        <v>403.2</v>
      </c>
      <c r="F170" s="151">
        <v>142.19999999999999</v>
      </c>
      <c r="G170" s="151">
        <v>6.8</v>
      </c>
      <c r="H170" s="151">
        <v>11.2</v>
      </c>
      <c r="I170" s="151">
        <v>10.199999999999999</v>
      </c>
      <c r="J170" s="151">
        <v>360.4</v>
      </c>
      <c r="K170" s="151">
        <v>6.35</v>
      </c>
      <c r="L170" s="151">
        <v>53</v>
      </c>
      <c r="M170" s="151">
        <v>15700</v>
      </c>
      <c r="N170" s="151">
        <v>538</v>
      </c>
      <c r="O170" s="151">
        <v>16.399999999999999</v>
      </c>
      <c r="P170" s="151">
        <v>3.03</v>
      </c>
      <c r="Q170" s="151">
        <v>778</v>
      </c>
      <c r="R170" s="151">
        <v>75.7</v>
      </c>
      <c r="S170" s="151">
        <v>888</v>
      </c>
      <c r="T170" s="151">
        <v>118</v>
      </c>
      <c r="U170" s="151">
        <v>0.871</v>
      </c>
      <c r="V170" s="151">
        <v>39</v>
      </c>
      <c r="W170" s="151">
        <v>0.20699999999999999</v>
      </c>
      <c r="X170" s="151">
        <v>19</v>
      </c>
      <c r="Y170" s="151">
        <v>58.6</v>
      </c>
    </row>
    <row r="171" spans="2:25">
      <c r="B171" s="48">
        <v>80</v>
      </c>
      <c r="C171" s="79" t="s">
        <v>124</v>
      </c>
      <c r="D171" s="151">
        <v>39</v>
      </c>
      <c r="E171" s="151">
        <v>398</v>
      </c>
      <c r="F171" s="151">
        <v>141.80000000000001</v>
      </c>
      <c r="G171" s="151">
        <v>6.4</v>
      </c>
      <c r="H171" s="151">
        <v>8.6</v>
      </c>
      <c r="I171" s="151">
        <v>10.199999999999999</v>
      </c>
      <c r="J171" s="151">
        <v>360.4</v>
      </c>
      <c r="K171" s="151">
        <v>8.24</v>
      </c>
      <c r="L171" s="151">
        <v>56.3</v>
      </c>
      <c r="M171" s="151">
        <v>12500</v>
      </c>
      <c r="N171" s="151">
        <v>410</v>
      </c>
      <c r="O171" s="151">
        <v>15.9</v>
      </c>
      <c r="P171" s="151">
        <v>2.87</v>
      </c>
      <c r="Q171" s="151">
        <v>629</v>
      </c>
      <c r="R171" s="151">
        <v>57.8</v>
      </c>
      <c r="S171" s="151">
        <v>724</v>
      </c>
      <c r="T171" s="151">
        <v>90.8</v>
      </c>
      <c r="U171" s="151">
        <v>0.85799999999999998</v>
      </c>
      <c r="V171" s="151">
        <v>47.4</v>
      </c>
      <c r="W171" s="151">
        <v>0.155</v>
      </c>
      <c r="X171" s="151">
        <v>10.7</v>
      </c>
      <c r="Y171" s="151">
        <v>49.7</v>
      </c>
    </row>
    <row r="172" spans="2:25">
      <c r="B172" s="48">
        <v>81</v>
      </c>
      <c r="C172" s="79" t="s">
        <v>125</v>
      </c>
      <c r="D172" s="151">
        <v>67.099999999999994</v>
      </c>
      <c r="E172" s="151">
        <v>363.4</v>
      </c>
      <c r="F172" s="151">
        <v>173.2</v>
      </c>
      <c r="G172" s="151">
        <v>9.1</v>
      </c>
      <c r="H172" s="151">
        <v>15.7</v>
      </c>
      <c r="I172" s="151">
        <v>10.199999999999999</v>
      </c>
      <c r="J172" s="151">
        <v>311.60000000000002</v>
      </c>
      <c r="K172" s="151">
        <v>5.52</v>
      </c>
      <c r="L172" s="151">
        <v>34.200000000000003</v>
      </c>
      <c r="M172" s="151">
        <v>19500</v>
      </c>
      <c r="N172" s="151">
        <v>1360</v>
      </c>
      <c r="O172" s="151">
        <v>15.1</v>
      </c>
      <c r="P172" s="151">
        <v>3.99</v>
      </c>
      <c r="Q172" s="151">
        <v>1070</v>
      </c>
      <c r="R172" s="151">
        <v>157</v>
      </c>
      <c r="S172" s="151">
        <v>1210</v>
      </c>
      <c r="T172" s="151">
        <v>243</v>
      </c>
      <c r="U172" s="151">
        <v>0.88600000000000001</v>
      </c>
      <c r="V172" s="151">
        <v>24.4</v>
      </c>
      <c r="W172" s="151">
        <v>0.41199999999999998</v>
      </c>
      <c r="X172" s="151">
        <v>55.7</v>
      </c>
      <c r="Y172" s="151">
        <v>85.5</v>
      </c>
    </row>
    <row r="173" spans="2:25">
      <c r="B173" s="48">
        <v>82</v>
      </c>
      <c r="C173" s="79" t="s">
        <v>126</v>
      </c>
      <c r="D173" s="151">
        <v>57</v>
      </c>
      <c r="E173" s="151">
        <v>358</v>
      </c>
      <c r="F173" s="151">
        <v>172.2</v>
      </c>
      <c r="G173" s="151">
        <v>8.1</v>
      </c>
      <c r="H173" s="151">
        <v>13</v>
      </c>
      <c r="I173" s="151">
        <v>10.199999999999999</v>
      </c>
      <c r="J173" s="151">
        <v>311.60000000000002</v>
      </c>
      <c r="K173" s="151">
        <v>6.62</v>
      </c>
      <c r="L173" s="151">
        <v>38.5</v>
      </c>
      <c r="M173" s="151">
        <v>16000</v>
      </c>
      <c r="N173" s="151">
        <v>1110</v>
      </c>
      <c r="O173" s="151">
        <v>14.9</v>
      </c>
      <c r="P173" s="151">
        <v>3.91</v>
      </c>
      <c r="Q173" s="151">
        <v>896</v>
      </c>
      <c r="R173" s="151">
        <v>129</v>
      </c>
      <c r="S173" s="151">
        <v>1010</v>
      </c>
      <c r="T173" s="151">
        <v>199</v>
      </c>
      <c r="U173" s="151">
        <v>0.88200000000000001</v>
      </c>
      <c r="V173" s="151">
        <v>28.8</v>
      </c>
      <c r="W173" s="151">
        <v>0.33</v>
      </c>
      <c r="X173" s="151">
        <v>33.4</v>
      </c>
      <c r="Y173" s="151">
        <v>72.599999999999994</v>
      </c>
    </row>
    <row r="174" spans="2:25">
      <c r="B174" s="48">
        <v>83</v>
      </c>
      <c r="C174" s="79" t="s">
        <v>127</v>
      </c>
      <c r="D174" s="151">
        <v>51</v>
      </c>
      <c r="E174" s="151">
        <v>355</v>
      </c>
      <c r="F174" s="151">
        <v>171.5</v>
      </c>
      <c r="G174" s="151">
        <v>7.4</v>
      </c>
      <c r="H174" s="151">
        <v>11.5</v>
      </c>
      <c r="I174" s="151">
        <v>10.199999999999999</v>
      </c>
      <c r="J174" s="151">
        <v>311.60000000000002</v>
      </c>
      <c r="K174" s="151">
        <v>7.46</v>
      </c>
      <c r="L174" s="151">
        <v>42.1</v>
      </c>
      <c r="M174" s="151">
        <v>14100</v>
      </c>
      <c r="N174" s="151">
        <v>968</v>
      </c>
      <c r="O174" s="151">
        <v>14.8</v>
      </c>
      <c r="P174" s="151">
        <v>3.86</v>
      </c>
      <c r="Q174" s="151">
        <v>796</v>
      </c>
      <c r="R174" s="151">
        <v>113</v>
      </c>
      <c r="S174" s="151">
        <v>896</v>
      </c>
      <c r="T174" s="151">
        <v>174</v>
      </c>
      <c r="U174" s="151">
        <v>0.88</v>
      </c>
      <c r="V174" s="151">
        <v>32.1</v>
      </c>
      <c r="W174" s="151">
        <v>0.28599999999999998</v>
      </c>
      <c r="X174" s="151">
        <v>23.8</v>
      </c>
      <c r="Y174" s="151">
        <v>64.900000000000006</v>
      </c>
    </row>
    <row r="175" spans="2:25">
      <c r="B175" s="48">
        <v>84</v>
      </c>
      <c r="C175" s="79" t="s">
        <v>128</v>
      </c>
      <c r="D175" s="151">
        <v>45</v>
      </c>
      <c r="E175" s="151">
        <v>351.4</v>
      </c>
      <c r="F175" s="151">
        <v>171.1</v>
      </c>
      <c r="G175" s="151">
        <v>7</v>
      </c>
      <c r="H175" s="151">
        <v>9.6999999999999993</v>
      </c>
      <c r="I175" s="151">
        <v>10.199999999999999</v>
      </c>
      <c r="J175" s="151">
        <v>311.60000000000002</v>
      </c>
      <c r="K175" s="151">
        <v>8.82</v>
      </c>
      <c r="L175" s="151">
        <v>44.5</v>
      </c>
      <c r="M175" s="151">
        <v>12100</v>
      </c>
      <c r="N175" s="151">
        <v>811</v>
      </c>
      <c r="O175" s="151">
        <v>14.5</v>
      </c>
      <c r="P175" s="151">
        <v>3.76</v>
      </c>
      <c r="Q175" s="151">
        <v>687</v>
      </c>
      <c r="R175" s="151">
        <v>94.8</v>
      </c>
      <c r="S175" s="151">
        <v>775</v>
      </c>
      <c r="T175" s="151">
        <v>147</v>
      </c>
      <c r="U175" s="151">
        <v>0.874</v>
      </c>
      <c r="V175" s="151">
        <v>36.799999999999997</v>
      </c>
      <c r="W175" s="151">
        <v>0.23699999999999999</v>
      </c>
      <c r="X175" s="151">
        <v>15.8</v>
      </c>
      <c r="Y175" s="151">
        <v>57.3</v>
      </c>
    </row>
    <row r="176" spans="2:25">
      <c r="B176" s="48">
        <v>85</v>
      </c>
      <c r="C176" s="79" t="s">
        <v>129</v>
      </c>
      <c r="D176" s="151">
        <v>39.1</v>
      </c>
      <c r="E176" s="151">
        <v>353.4</v>
      </c>
      <c r="F176" s="151">
        <v>126</v>
      </c>
      <c r="G176" s="151">
        <v>6.6</v>
      </c>
      <c r="H176" s="151">
        <v>10.7</v>
      </c>
      <c r="I176" s="151">
        <v>10.199999999999999</v>
      </c>
      <c r="J176" s="151">
        <v>311.60000000000002</v>
      </c>
      <c r="K176" s="151">
        <v>5.89</v>
      </c>
      <c r="L176" s="151">
        <v>47.2</v>
      </c>
      <c r="M176" s="151">
        <v>10200</v>
      </c>
      <c r="N176" s="151">
        <v>358</v>
      </c>
      <c r="O176" s="151">
        <v>14.3</v>
      </c>
      <c r="P176" s="151">
        <v>2.68</v>
      </c>
      <c r="Q176" s="151">
        <v>576</v>
      </c>
      <c r="R176" s="151">
        <v>56.8</v>
      </c>
      <c r="S176" s="151">
        <v>659</v>
      </c>
      <c r="T176" s="151">
        <v>89</v>
      </c>
      <c r="U176" s="151">
        <v>0.871</v>
      </c>
      <c r="V176" s="151">
        <v>35.200000000000003</v>
      </c>
      <c r="W176" s="151">
        <v>0.105</v>
      </c>
      <c r="X176" s="151">
        <v>15.1</v>
      </c>
      <c r="Y176" s="151">
        <v>49.8</v>
      </c>
    </row>
    <row r="177" spans="2:25">
      <c r="B177" s="48">
        <v>86</v>
      </c>
      <c r="C177" s="79" t="s">
        <v>130</v>
      </c>
      <c r="D177" s="151">
        <v>33.1</v>
      </c>
      <c r="E177" s="151">
        <v>349</v>
      </c>
      <c r="F177" s="151">
        <v>125.4</v>
      </c>
      <c r="G177" s="151">
        <v>6</v>
      </c>
      <c r="H177" s="151">
        <v>8.5</v>
      </c>
      <c r="I177" s="151">
        <v>10.199999999999999</v>
      </c>
      <c r="J177" s="151">
        <v>311.60000000000002</v>
      </c>
      <c r="K177" s="151">
        <v>7.38</v>
      </c>
      <c r="L177" s="151">
        <v>51.9</v>
      </c>
      <c r="M177" s="151">
        <v>8250</v>
      </c>
      <c r="N177" s="151">
        <v>280</v>
      </c>
      <c r="O177" s="151">
        <v>14</v>
      </c>
      <c r="P177" s="151">
        <v>2.58</v>
      </c>
      <c r="Q177" s="151">
        <v>473</v>
      </c>
      <c r="R177" s="151">
        <v>44.7</v>
      </c>
      <c r="S177" s="151">
        <v>543</v>
      </c>
      <c r="T177" s="151">
        <v>70.2</v>
      </c>
      <c r="U177" s="151">
        <v>0.86299999999999999</v>
      </c>
      <c r="V177" s="151">
        <v>42.1</v>
      </c>
      <c r="W177" s="151">
        <v>8.1000000000000003E-2</v>
      </c>
      <c r="X177" s="151">
        <v>8.7899999999999991</v>
      </c>
      <c r="Y177" s="151">
        <v>42.1</v>
      </c>
    </row>
    <row r="178" spans="2:25">
      <c r="B178" s="48">
        <v>87</v>
      </c>
      <c r="C178" s="79" t="s">
        <v>131</v>
      </c>
      <c r="D178" s="151">
        <v>54</v>
      </c>
      <c r="E178" s="151">
        <v>310.39999999999998</v>
      </c>
      <c r="F178" s="151">
        <v>166.9</v>
      </c>
      <c r="G178" s="151">
        <v>7.9</v>
      </c>
      <c r="H178" s="151">
        <v>13.7</v>
      </c>
      <c r="I178" s="151">
        <v>8.9</v>
      </c>
      <c r="J178" s="151">
        <v>265.2</v>
      </c>
      <c r="K178" s="151">
        <v>6.09</v>
      </c>
      <c r="L178" s="151">
        <v>33.6</v>
      </c>
      <c r="M178" s="151">
        <v>11700</v>
      </c>
      <c r="N178" s="151">
        <v>1060</v>
      </c>
      <c r="O178" s="151">
        <v>13</v>
      </c>
      <c r="P178" s="151">
        <v>3.93</v>
      </c>
      <c r="Q178" s="151">
        <v>754</v>
      </c>
      <c r="R178" s="151">
        <v>127</v>
      </c>
      <c r="S178" s="151">
        <v>846</v>
      </c>
      <c r="T178" s="151">
        <v>196</v>
      </c>
      <c r="U178" s="151">
        <v>0.88800000000000001</v>
      </c>
      <c r="V178" s="151">
        <v>23.6</v>
      </c>
      <c r="W178" s="151">
        <v>0.23400000000000001</v>
      </c>
      <c r="X178" s="151">
        <v>34.799999999999997</v>
      </c>
      <c r="Y178" s="151">
        <v>68.8</v>
      </c>
    </row>
    <row r="179" spans="2:25">
      <c r="B179" s="48">
        <v>88</v>
      </c>
      <c r="C179" s="79" t="s">
        <v>132</v>
      </c>
      <c r="D179" s="151">
        <v>46.1</v>
      </c>
      <c r="E179" s="151">
        <v>306.60000000000002</v>
      </c>
      <c r="F179" s="151">
        <v>165.7</v>
      </c>
      <c r="G179" s="151">
        <v>6.7</v>
      </c>
      <c r="H179" s="151">
        <v>11.8</v>
      </c>
      <c r="I179" s="151">
        <v>8.9</v>
      </c>
      <c r="J179" s="151">
        <v>265.2</v>
      </c>
      <c r="K179" s="151">
        <v>7.02</v>
      </c>
      <c r="L179" s="151">
        <v>39.6</v>
      </c>
      <c r="M179" s="151">
        <v>9900</v>
      </c>
      <c r="N179" s="151">
        <v>896</v>
      </c>
      <c r="O179" s="151">
        <v>13</v>
      </c>
      <c r="P179" s="151">
        <v>3.9</v>
      </c>
      <c r="Q179" s="151">
        <v>646</v>
      </c>
      <c r="R179" s="151">
        <v>108</v>
      </c>
      <c r="S179" s="151">
        <v>720</v>
      </c>
      <c r="T179" s="151">
        <v>166</v>
      </c>
      <c r="U179" s="151">
        <v>0.89</v>
      </c>
      <c r="V179" s="151">
        <v>27.1</v>
      </c>
      <c r="W179" s="151">
        <v>0.19500000000000001</v>
      </c>
      <c r="X179" s="151">
        <v>22.2</v>
      </c>
      <c r="Y179" s="151">
        <v>58.7</v>
      </c>
    </row>
    <row r="180" spans="2:25">
      <c r="B180" s="48">
        <v>89</v>
      </c>
      <c r="C180" s="79" t="s">
        <v>133</v>
      </c>
      <c r="D180" s="151">
        <v>40.299999999999997</v>
      </c>
      <c r="E180" s="151">
        <v>303.39999999999998</v>
      </c>
      <c r="F180" s="151">
        <v>165</v>
      </c>
      <c r="G180" s="151">
        <v>6</v>
      </c>
      <c r="H180" s="151">
        <v>10.199999999999999</v>
      </c>
      <c r="I180" s="151">
        <v>8.9</v>
      </c>
      <c r="J180" s="151">
        <v>265.2</v>
      </c>
      <c r="K180" s="151">
        <v>8.09</v>
      </c>
      <c r="L180" s="151">
        <v>44.2</v>
      </c>
      <c r="M180" s="151">
        <v>8500</v>
      </c>
      <c r="N180" s="151">
        <v>764</v>
      </c>
      <c r="O180" s="151">
        <v>12.9</v>
      </c>
      <c r="P180" s="151">
        <v>3.86</v>
      </c>
      <c r="Q180" s="151">
        <v>560</v>
      </c>
      <c r="R180" s="151">
        <v>92.6</v>
      </c>
      <c r="S180" s="151">
        <v>623</v>
      </c>
      <c r="T180" s="151">
        <v>142</v>
      </c>
      <c r="U180" s="151">
        <v>0.88900000000000001</v>
      </c>
      <c r="V180" s="151">
        <v>31</v>
      </c>
      <c r="W180" s="151">
        <v>0.16400000000000001</v>
      </c>
      <c r="X180" s="151">
        <v>14.7</v>
      </c>
      <c r="Y180" s="151">
        <v>51.3</v>
      </c>
    </row>
    <row r="181" spans="2:25">
      <c r="B181" s="48">
        <v>90</v>
      </c>
      <c r="C181" s="79" t="s">
        <v>134</v>
      </c>
      <c r="D181" s="151">
        <v>48.1</v>
      </c>
      <c r="E181" s="151">
        <v>311</v>
      </c>
      <c r="F181" s="151">
        <v>125.3</v>
      </c>
      <c r="G181" s="151">
        <v>9</v>
      </c>
      <c r="H181" s="151">
        <v>14</v>
      </c>
      <c r="I181" s="151">
        <v>8.9</v>
      </c>
      <c r="J181" s="151">
        <v>265.2</v>
      </c>
      <c r="K181" s="151">
        <v>4.4800000000000004</v>
      </c>
      <c r="L181" s="151">
        <v>29.5</v>
      </c>
      <c r="M181" s="151">
        <v>9570</v>
      </c>
      <c r="N181" s="151">
        <v>461</v>
      </c>
      <c r="O181" s="151">
        <v>12.5</v>
      </c>
      <c r="P181" s="151">
        <v>2.74</v>
      </c>
      <c r="Q181" s="151">
        <v>616</v>
      </c>
      <c r="R181" s="151">
        <v>73.599999999999994</v>
      </c>
      <c r="S181" s="151">
        <v>711</v>
      </c>
      <c r="T181" s="151">
        <v>116</v>
      </c>
      <c r="U181" s="151">
        <v>0.873</v>
      </c>
      <c r="V181" s="151">
        <v>23.3</v>
      </c>
      <c r="W181" s="151">
        <v>0.10199999999999999</v>
      </c>
      <c r="X181" s="151">
        <v>31.8</v>
      </c>
      <c r="Y181" s="151">
        <v>61.2</v>
      </c>
    </row>
    <row r="182" spans="2:25">
      <c r="B182" s="48">
        <v>91</v>
      </c>
      <c r="C182" s="79" t="s">
        <v>135</v>
      </c>
      <c r="D182" s="151">
        <v>41.9</v>
      </c>
      <c r="E182" s="151">
        <v>307.2</v>
      </c>
      <c r="F182" s="151">
        <v>124.3</v>
      </c>
      <c r="G182" s="151">
        <v>8</v>
      </c>
      <c r="H182" s="151">
        <v>12.1</v>
      </c>
      <c r="I182" s="151">
        <v>8.9</v>
      </c>
      <c r="J182" s="151">
        <v>265.2</v>
      </c>
      <c r="K182" s="151">
        <v>5.14</v>
      </c>
      <c r="L182" s="151">
        <v>33.200000000000003</v>
      </c>
      <c r="M182" s="151">
        <v>8200</v>
      </c>
      <c r="N182" s="151">
        <v>389</v>
      </c>
      <c r="O182" s="151">
        <v>12.4</v>
      </c>
      <c r="P182" s="151">
        <v>2.7</v>
      </c>
      <c r="Q182" s="151">
        <v>534</v>
      </c>
      <c r="R182" s="151">
        <v>62.6</v>
      </c>
      <c r="S182" s="151">
        <v>614</v>
      </c>
      <c r="T182" s="151">
        <v>98.4</v>
      </c>
      <c r="U182" s="151">
        <v>0.872</v>
      </c>
      <c r="V182" s="151">
        <v>26.5</v>
      </c>
      <c r="W182" s="151">
        <v>8.4599999999999995E-2</v>
      </c>
      <c r="X182" s="151">
        <v>21.1</v>
      </c>
      <c r="Y182" s="151">
        <v>53.4</v>
      </c>
    </row>
    <row r="183" spans="2:25">
      <c r="B183" s="48">
        <v>92</v>
      </c>
      <c r="C183" s="79" t="s">
        <v>136</v>
      </c>
      <c r="D183" s="151">
        <v>37</v>
      </c>
      <c r="E183" s="151">
        <v>304.39999999999998</v>
      </c>
      <c r="F183" s="151">
        <v>123.4</v>
      </c>
      <c r="G183" s="151">
        <v>7.1</v>
      </c>
      <c r="H183" s="151">
        <v>10.7</v>
      </c>
      <c r="I183" s="151">
        <v>8.9</v>
      </c>
      <c r="J183" s="151">
        <v>265.2</v>
      </c>
      <c r="K183" s="151">
        <v>5.77</v>
      </c>
      <c r="L183" s="151">
        <v>37.4</v>
      </c>
      <c r="M183" s="151">
        <v>7170</v>
      </c>
      <c r="N183" s="151">
        <v>336</v>
      </c>
      <c r="O183" s="151">
        <v>12.3</v>
      </c>
      <c r="P183" s="151">
        <v>2.67</v>
      </c>
      <c r="Q183" s="151">
        <v>471</v>
      </c>
      <c r="R183" s="151">
        <v>54.5</v>
      </c>
      <c r="S183" s="151">
        <v>539</v>
      </c>
      <c r="T183" s="151">
        <v>85.4</v>
      </c>
      <c r="U183" s="151">
        <v>0.871</v>
      </c>
      <c r="V183" s="151">
        <v>29.7</v>
      </c>
      <c r="W183" s="151">
        <v>7.2499999999999995E-2</v>
      </c>
      <c r="X183" s="151">
        <v>14.8</v>
      </c>
      <c r="Y183" s="151">
        <v>47.2</v>
      </c>
    </row>
    <row r="184" spans="2:25">
      <c r="B184" s="48">
        <v>93</v>
      </c>
      <c r="C184" s="79" t="s">
        <v>137</v>
      </c>
      <c r="D184" s="151">
        <v>32.799999999999997</v>
      </c>
      <c r="E184" s="151">
        <v>312.7</v>
      </c>
      <c r="F184" s="151">
        <v>102.4</v>
      </c>
      <c r="G184" s="151">
        <v>6.6</v>
      </c>
      <c r="H184" s="151">
        <v>10.8</v>
      </c>
      <c r="I184" s="151">
        <v>7.6</v>
      </c>
      <c r="J184" s="151">
        <v>275.89999999999998</v>
      </c>
      <c r="K184" s="151">
        <v>4.74</v>
      </c>
      <c r="L184" s="151">
        <v>41.8</v>
      </c>
      <c r="M184" s="151">
        <v>6500</v>
      </c>
      <c r="N184" s="151">
        <v>194</v>
      </c>
      <c r="O184" s="151">
        <v>12.5</v>
      </c>
      <c r="P184" s="151">
        <v>2.15</v>
      </c>
      <c r="Q184" s="151">
        <v>416</v>
      </c>
      <c r="R184" s="151">
        <v>37.9</v>
      </c>
      <c r="S184" s="151">
        <v>481</v>
      </c>
      <c r="T184" s="151">
        <v>60</v>
      </c>
      <c r="U184" s="151">
        <v>0.86699999999999999</v>
      </c>
      <c r="V184" s="151">
        <v>31.6</v>
      </c>
      <c r="W184" s="151">
        <v>4.4200000000000003E-2</v>
      </c>
      <c r="X184" s="151">
        <v>12.2</v>
      </c>
      <c r="Y184" s="151">
        <v>41.8</v>
      </c>
    </row>
    <row r="185" spans="2:25">
      <c r="B185" s="48">
        <v>94</v>
      </c>
      <c r="C185" s="79" t="s">
        <v>138</v>
      </c>
      <c r="D185" s="151">
        <v>28.2</v>
      </c>
      <c r="E185" s="151">
        <v>308.7</v>
      </c>
      <c r="F185" s="151">
        <v>101.8</v>
      </c>
      <c r="G185" s="151">
        <v>6</v>
      </c>
      <c r="H185" s="151">
        <v>8.8000000000000007</v>
      </c>
      <c r="I185" s="151">
        <v>7.6</v>
      </c>
      <c r="J185" s="151">
        <v>275.89999999999998</v>
      </c>
      <c r="K185" s="151">
        <v>5.78</v>
      </c>
      <c r="L185" s="151">
        <v>46</v>
      </c>
      <c r="M185" s="151">
        <v>5370</v>
      </c>
      <c r="N185" s="151">
        <v>155</v>
      </c>
      <c r="O185" s="151">
        <v>12.2</v>
      </c>
      <c r="P185" s="151">
        <v>2.08</v>
      </c>
      <c r="Q185" s="151">
        <v>348</v>
      </c>
      <c r="R185" s="151">
        <v>30.5</v>
      </c>
      <c r="S185" s="151">
        <v>403</v>
      </c>
      <c r="T185" s="151">
        <v>48.4</v>
      </c>
      <c r="U185" s="151">
        <v>0.85899999999999999</v>
      </c>
      <c r="V185" s="151">
        <v>37.4</v>
      </c>
      <c r="W185" s="151">
        <v>3.49E-2</v>
      </c>
      <c r="X185" s="151">
        <v>7.4</v>
      </c>
      <c r="Y185" s="151">
        <v>35.9</v>
      </c>
    </row>
    <row r="186" spans="2:25">
      <c r="B186" s="48">
        <v>95</v>
      </c>
      <c r="C186" s="79" t="s">
        <v>139</v>
      </c>
      <c r="D186" s="151">
        <v>24.8</v>
      </c>
      <c r="E186" s="151">
        <v>305.10000000000002</v>
      </c>
      <c r="F186" s="151">
        <v>101.6</v>
      </c>
      <c r="G186" s="151">
        <v>5.8</v>
      </c>
      <c r="H186" s="151">
        <v>7</v>
      </c>
      <c r="I186" s="151">
        <v>7.6</v>
      </c>
      <c r="J186" s="151">
        <v>275.89999999999998</v>
      </c>
      <c r="K186" s="151">
        <v>7.26</v>
      </c>
      <c r="L186" s="151">
        <v>47.6</v>
      </c>
      <c r="M186" s="151">
        <v>4460</v>
      </c>
      <c r="N186" s="151">
        <v>123</v>
      </c>
      <c r="O186" s="151">
        <v>11.9</v>
      </c>
      <c r="P186" s="151">
        <v>1.97</v>
      </c>
      <c r="Q186" s="151">
        <v>292</v>
      </c>
      <c r="R186" s="151">
        <v>24.2</v>
      </c>
      <c r="S186" s="151">
        <v>342</v>
      </c>
      <c r="T186" s="151">
        <v>38.799999999999997</v>
      </c>
      <c r="U186" s="151">
        <v>0.84899999999999998</v>
      </c>
      <c r="V186" s="151">
        <v>43.1</v>
      </c>
      <c r="W186" s="151">
        <v>2.7E-2</v>
      </c>
      <c r="X186" s="151">
        <v>4.7699999999999996</v>
      </c>
      <c r="Y186" s="151">
        <v>31.6</v>
      </c>
    </row>
    <row r="187" spans="2:25">
      <c r="B187" s="48">
        <v>96</v>
      </c>
      <c r="C187" s="79" t="s">
        <v>140</v>
      </c>
      <c r="D187" s="151">
        <v>43</v>
      </c>
      <c r="E187" s="151">
        <v>259.60000000000002</v>
      </c>
      <c r="F187" s="151">
        <v>147.30000000000001</v>
      </c>
      <c r="G187" s="151">
        <v>7.2</v>
      </c>
      <c r="H187" s="151">
        <v>12.7</v>
      </c>
      <c r="I187" s="151">
        <v>7.6</v>
      </c>
      <c r="J187" s="151">
        <v>219</v>
      </c>
      <c r="K187" s="151">
        <v>5.8</v>
      </c>
      <c r="L187" s="151">
        <v>30.4</v>
      </c>
      <c r="M187" s="151">
        <v>6540</v>
      </c>
      <c r="N187" s="151">
        <v>677</v>
      </c>
      <c r="O187" s="151">
        <v>10.9</v>
      </c>
      <c r="P187" s="151">
        <v>3.52</v>
      </c>
      <c r="Q187" s="151">
        <v>504</v>
      </c>
      <c r="R187" s="151">
        <v>92</v>
      </c>
      <c r="S187" s="151">
        <v>566</v>
      </c>
      <c r="T187" s="151">
        <v>141</v>
      </c>
      <c r="U187" s="151">
        <v>0.89</v>
      </c>
      <c r="V187" s="151">
        <v>21.1</v>
      </c>
      <c r="W187" s="151">
        <v>0.10299999999999999</v>
      </c>
      <c r="X187" s="151">
        <v>23.9</v>
      </c>
      <c r="Y187" s="151">
        <v>54.8</v>
      </c>
    </row>
    <row r="188" spans="2:25">
      <c r="B188" s="48">
        <v>97</v>
      </c>
      <c r="C188" s="79" t="s">
        <v>141</v>
      </c>
      <c r="D188" s="151">
        <v>37</v>
      </c>
      <c r="E188" s="151">
        <v>256</v>
      </c>
      <c r="F188" s="151">
        <v>146.4</v>
      </c>
      <c r="G188" s="151">
        <v>6.3</v>
      </c>
      <c r="H188" s="151">
        <v>10.9</v>
      </c>
      <c r="I188" s="151">
        <v>7.6</v>
      </c>
      <c r="J188" s="151">
        <v>219</v>
      </c>
      <c r="K188" s="151">
        <v>6.72</v>
      </c>
      <c r="L188" s="151">
        <v>34.799999999999997</v>
      </c>
      <c r="M188" s="151">
        <v>5540</v>
      </c>
      <c r="N188" s="151">
        <v>571</v>
      </c>
      <c r="O188" s="151">
        <v>10.8</v>
      </c>
      <c r="P188" s="151">
        <v>3.48</v>
      </c>
      <c r="Q188" s="151">
        <v>433</v>
      </c>
      <c r="R188" s="151">
        <v>78</v>
      </c>
      <c r="S188" s="151">
        <v>483</v>
      </c>
      <c r="T188" s="151">
        <v>119</v>
      </c>
      <c r="U188" s="151">
        <v>0.88900000000000001</v>
      </c>
      <c r="V188" s="151">
        <v>24.3</v>
      </c>
      <c r="W188" s="151">
        <v>8.5699999999999998E-2</v>
      </c>
      <c r="X188" s="151">
        <v>15.3</v>
      </c>
      <c r="Y188" s="151">
        <v>47.2</v>
      </c>
    </row>
    <row r="189" spans="2:25">
      <c r="B189" s="48">
        <v>98</v>
      </c>
      <c r="C189" s="79" t="s">
        <v>142</v>
      </c>
      <c r="D189" s="151">
        <v>31.1</v>
      </c>
      <c r="E189" s="151">
        <v>251.4</v>
      </c>
      <c r="F189" s="151">
        <v>146.1</v>
      </c>
      <c r="G189" s="151">
        <v>6</v>
      </c>
      <c r="H189" s="151">
        <v>8.6</v>
      </c>
      <c r="I189" s="151">
        <v>7.6</v>
      </c>
      <c r="J189" s="151">
        <v>219</v>
      </c>
      <c r="K189" s="151">
        <v>8.49</v>
      </c>
      <c r="L189" s="151">
        <v>36.5</v>
      </c>
      <c r="M189" s="151">
        <v>4410</v>
      </c>
      <c r="N189" s="151">
        <v>448</v>
      </c>
      <c r="O189" s="151">
        <v>10.5</v>
      </c>
      <c r="P189" s="151">
        <v>3.36</v>
      </c>
      <c r="Q189" s="151">
        <v>351</v>
      </c>
      <c r="R189" s="151">
        <v>61.3</v>
      </c>
      <c r="S189" s="151">
        <v>393</v>
      </c>
      <c r="T189" s="151">
        <v>94.1</v>
      </c>
      <c r="U189" s="151">
        <v>0.879</v>
      </c>
      <c r="V189" s="151">
        <v>29.6</v>
      </c>
      <c r="W189" s="151">
        <v>6.6000000000000003E-2</v>
      </c>
      <c r="X189" s="151">
        <v>8.5500000000000007</v>
      </c>
      <c r="Y189" s="151">
        <v>39.700000000000003</v>
      </c>
    </row>
    <row r="190" spans="2:25">
      <c r="B190" s="48">
        <v>99</v>
      </c>
      <c r="C190" s="79" t="s">
        <v>143</v>
      </c>
      <c r="D190" s="151">
        <v>28.3</v>
      </c>
      <c r="E190" s="151">
        <v>260.39999999999998</v>
      </c>
      <c r="F190" s="151">
        <v>102.2</v>
      </c>
      <c r="G190" s="151">
        <v>6.3</v>
      </c>
      <c r="H190" s="151">
        <v>10</v>
      </c>
      <c r="I190" s="151">
        <v>7.6</v>
      </c>
      <c r="J190" s="151">
        <v>225.2</v>
      </c>
      <c r="K190" s="151">
        <v>5.1100000000000003</v>
      </c>
      <c r="L190" s="151">
        <v>35.700000000000003</v>
      </c>
      <c r="M190" s="151">
        <v>4000</v>
      </c>
      <c r="N190" s="151">
        <v>179</v>
      </c>
      <c r="O190" s="151">
        <v>10.5</v>
      </c>
      <c r="P190" s="151">
        <v>2.2200000000000002</v>
      </c>
      <c r="Q190" s="151">
        <v>308</v>
      </c>
      <c r="R190" s="151">
        <v>34.9</v>
      </c>
      <c r="S190" s="151">
        <v>353</v>
      </c>
      <c r="T190" s="151">
        <v>54.8</v>
      </c>
      <c r="U190" s="151">
        <v>0.874</v>
      </c>
      <c r="V190" s="151">
        <v>27.5</v>
      </c>
      <c r="W190" s="151">
        <v>2.8000000000000001E-2</v>
      </c>
      <c r="X190" s="151">
        <v>9.57</v>
      </c>
      <c r="Y190" s="151">
        <v>36.1</v>
      </c>
    </row>
    <row r="191" spans="2:25">
      <c r="B191" s="48">
        <v>100</v>
      </c>
      <c r="C191" s="79" t="s">
        <v>144</v>
      </c>
      <c r="D191" s="151">
        <v>25.2</v>
      </c>
      <c r="E191" s="151">
        <v>257.2</v>
      </c>
      <c r="F191" s="151">
        <v>101.9</v>
      </c>
      <c r="G191" s="151">
        <v>6</v>
      </c>
      <c r="H191" s="151">
        <v>8.4</v>
      </c>
      <c r="I191" s="151">
        <v>7.6</v>
      </c>
      <c r="J191" s="151">
        <v>225.2</v>
      </c>
      <c r="K191" s="151">
        <v>6.07</v>
      </c>
      <c r="L191" s="151">
        <v>37.5</v>
      </c>
      <c r="M191" s="151">
        <v>3410</v>
      </c>
      <c r="N191" s="151">
        <v>149</v>
      </c>
      <c r="O191" s="151">
        <v>10.3</v>
      </c>
      <c r="P191" s="151">
        <v>2.15</v>
      </c>
      <c r="Q191" s="151">
        <v>266</v>
      </c>
      <c r="R191" s="151">
        <v>29.2</v>
      </c>
      <c r="S191" s="151">
        <v>306</v>
      </c>
      <c r="T191" s="151">
        <v>46</v>
      </c>
      <c r="U191" s="151">
        <v>0.86799999999999999</v>
      </c>
      <c r="V191" s="151">
        <v>31.4</v>
      </c>
      <c r="W191" s="151">
        <v>2.3E-2</v>
      </c>
      <c r="X191" s="151">
        <v>6.42</v>
      </c>
      <c r="Y191" s="151">
        <v>32</v>
      </c>
    </row>
    <row r="192" spans="2:25">
      <c r="B192" s="48">
        <v>101</v>
      </c>
      <c r="C192" s="79" t="s">
        <v>145</v>
      </c>
      <c r="D192" s="151">
        <v>22</v>
      </c>
      <c r="E192" s="151">
        <v>254</v>
      </c>
      <c r="F192" s="151">
        <v>101.6</v>
      </c>
      <c r="G192" s="151">
        <v>5.7</v>
      </c>
      <c r="H192" s="151">
        <v>6.8</v>
      </c>
      <c r="I192" s="151">
        <v>7.6</v>
      </c>
      <c r="J192" s="151">
        <v>225.2</v>
      </c>
      <c r="K192" s="151">
        <v>7.47</v>
      </c>
      <c r="L192" s="151">
        <v>39.5</v>
      </c>
      <c r="M192" s="151">
        <v>2840</v>
      </c>
      <c r="N192" s="151">
        <v>119</v>
      </c>
      <c r="O192" s="151">
        <v>10.1</v>
      </c>
      <c r="P192" s="151">
        <v>2.06</v>
      </c>
      <c r="Q192" s="151">
        <v>224</v>
      </c>
      <c r="R192" s="151">
        <v>23.5</v>
      </c>
      <c r="S192" s="151">
        <v>259</v>
      </c>
      <c r="T192" s="151">
        <v>37.299999999999997</v>
      </c>
      <c r="U192" s="151">
        <v>0.85599999999999998</v>
      </c>
      <c r="V192" s="151">
        <v>36.299999999999997</v>
      </c>
      <c r="W192" s="151">
        <v>1.8200000000000001E-2</v>
      </c>
      <c r="X192" s="151">
        <v>4.1500000000000004</v>
      </c>
      <c r="Y192" s="151">
        <v>28</v>
      </c>
    </row>
    <row r="193" spans="1:25">
      <c r="B193" s="48">
        <v>102</v>
      </c>
      <c r="C193" s="79" t="s">
        <v>146</v>
      </c>
      <c r="D193" s="151">
        <v>30</v>
      </c>
      <c r="E193" s="151">
        <v>206.8</v>
      </c>
      <c r="F193" s="151">
        <v>133.9</v>
      </c>
      <c r="G193" s="151">
        <v>6.4</v>
      </c>
      <c r="H193" s="151">
        <v>9.6</v>
      </c>
      <c r="I193" s="151">
        <v>7.6</v>
      </c>
      <c r="J193" s="151">
        <v>172.4</v>
      </c>
      <c r="K193" s="151">
        <v>6.97</v>
      </c>
      <c r="L193" s="151">
        <v>26.9</v>
      </c>
      <c r="M193" s="151">
        <v>2900</v>
      </c>
      <c r="N193" s="151">
        <v>385</v>
      </c>
      <c r="O193" s="151">
        <v>8.7100000000000009</v>
      </c>
      <c r="P193" s="151">
        <v>3.17</v>
      </c>
      <c r="Q193" s="151">
        <v>280</v>
      </c>
      <c r="R193" s="151">
        <v>57.5</v>
      </c>
      <c r="S193" s="151">
        <v>314</v>
      </c>
      <c r="T193" s="151">
        <v>88.2</v>
      </c>
      <c r="U193" s="151">
        <v>0.88100000000000001</v>
      </c>
      <c r="V193" s="151">
        <v>21.5</v>
      </c>
      <c r="W193" s="151">
        <v>3.7400000000000003E-2</v>
      </c>
      <c r="X193" s="151">
        <v>10.3</v>
      </c>
      <c r="Y193" s="151">
        <v>38.200000000000003</v>
      </c>
    </row>
    <row r="194" spans="1:25">
      <c r="B194" s="48">
        <v>103</v>
      </c>
      <c r="C194" s="79" t="s">
        <v>147</v>
      </c>
      <c r="D194" s="151">
        <v>25.1</v>
      </c>
      <c r="E194" s="151">
        <v>203.2</v>
      </c>
      <c r="F194" s="151">
        <v>133.19999999999999</v>
      </c>
      <c r="G194" s="151">
        <v>5.7</v>
      </c>
      <c r="H194" s="151">
        <v>7.8</v>
      </c>
      <c r="I194" s="151">
        <v>7.6</v>
      </c>
      <c r="J194" s="151">
        <v>172.4</v>
      </c>
      <c r="K194" s="151">
        <v>8.5399999999999991</v>
      </c>
      <c r="L194" s="151">
        <v>30.2</v>
      </c>
      <c r="M194" s="151">
        <v>2340</v>
      </c>
      <c r="N194" s="151">
        <v>308</v>
      </c>
      <c r="O194" s="151">
        <v>8.56</v>
      </c>
      <c r="P194" s="151">
        <v>3.1</v>
      </c>
      <c r="Q194" s="151">
        <v>230</v>
      </c>
      <c r="R194" s="151">
        <v>46.2</v>
      </c>
      <c r="S194" s="151">
        <v>258</v>
      </c>
      <c r="T194" s="151">
        <v>70.900000000000006</v>
      </c>
      <c r="U194" s="151">
        <v>0.877</v>
      </c>
      <c r="V194" s="151">
        <v>25.6</v>
      </c>
      <c r="W194" s="151">
        <v>2.9399999999999999E-2</v>
      </c>
      <c r="X194" s="151">
        <v>5.96</v>
      </c>
      <c r="Y194" s="151">
        <v>32</v>
      </c>
    </row>
    <row r="195" spans="1:25">
      <c r="B195" s="48">
        <v>104</v>
      </c>
      <c r="C195" s="79" t="s">
        <v>148</v>
      </c>
      <c r="D195" s="151">
        <v>23.1</v>
      </c>
      <c r="E195" s="151">
        <v>203.2</v>
      </c>
      <c r="F195" s="151">
        <v>101.8</v>
      </c>
      <c r="G195" s="151">
        <v>5.4</v>
      </c>
      <c r="H195" s="151">
        <v>9.3000000000000007</v>
      </c>
      <c r="I195" s="151">
        <v>7.6</v>
      </c>
      <c r="J195" s="151">
        <v>169.4</v>
      </c>
      <c r="K195" s="151">
        <v>5.47</v>
      </c>
      <c r="L195" s="151">
        <v>31.4</v>
      </c>
      <c r="M195" s="151">
        <v>2100</v>
      </c>
      <c r="N195" s="151">
        <v>164</v>
      </c>
      <c r="O195" s="151">
        <v>8.4600000000000009</v>
      </c>
      <c r="P195" s="151">
        <v>2.36</v>
      </c>
      <c r="Q195" s="151">
        <v>207</v>
      </c>
      <c r="R195" s="151">
        <v>32.200000000000003</v>
      </c>
      <c r="S195" s="151">
        <v>234</v>
      </c>
      <c r="T195" s="151">
        <v>49.7</v>
      </c>
      <c r="U195" s="151">
        <v>0.88800000000000001</v>
      </c>
      <c r="V195" s="151">
        <v>22.4</v>
      </c>
      <c r="W195" s="151">
        <v>1.54E-2</v>
      </c>
      <c r="X195" s="151">
        <v>7.02</v>
      </c>
      <c r="Y195" s="151">
        <v>29.4</v>
      </c>
    </row>
    <row r="196" spans="1:25">
      <c r="B196" s="48">
        <v>105</v>
      </c>
      <c r="C196" s="79" t="s">
        <v>149</v>
      </c>
      <c r="D196" s="151">
        <v>19</v>
      </c>
      <c r="E196" s="151">
        <v>177.8</v>
      </c>
      <c r="F196" s="151">
        <v>101.2</v>
      </c>
      <c r="G196" s="151">
        <v>4.8</v>
      </c>
      <c r="H196" s="151">
        <v>7.9</v>
      </c>
      <c r="I196" s="151">
        <v>7.6</v>
      </c>
      <c r="J196" s="151">
        <v>146.80000000000001</v>
      </c>
      <c r="K196" s="151">
        <v>6.41</v>
      </c>
      <c r="L196" s="151">
        <v>30.6</v>
      </c>
      <c r="M196" s="151">
        <v>1360</v>
      </c>
      <c r="N196" s="151">
        <v>137</v>
      </c>
      <c r="O196" s="151">
        <v>7.48</v>
      </c>
      <c r="P196" s="151">
        <v>2.37</v>
      </c>
      <c r="Q196" s="151">
        <v>153</v>
      </c>
      <c r="R196" s="151">
        <v>27</v>
      </c>
      <c r="S196" s="151">
        <v>171</v>
      </c>
      <c r="T196" s="151">
        <v>41.6</v>
      </c>
      <c r="U196" s="151">
        <v>0.88600000000000001</v>
      </c>
      <c r="V196" s="151">
        <v>22.6</v>
      </c>
      <c r="W196" s="151">
        <v>9.9000000000000008E-3</v>
      </c>
      <c r="X196" s="151">
        <v>4.41</v>
      </c>
      <c r="Y196" s="151">
        <v>24.3</v>
      </c>
    </row>
    <row r="197" spans="1:25">
      <c r="B197" s="48">
        <v>106</v>
      </c>
      <c r="C197" s="79" t="s">
        <v>150</v>
      </c>
      <c r="D197" s="151">
        <v>16</v>
      </c>
      <c r="E197" s="151">
        <v>152.4</v>
      </c>
      <c r="F197" s="151">
        <v>88.7</v>
      </c>
      <c r="G197" s="151">
        <v>4.5</v>
      </c>
      <c r="H197" s="151">
        <v>7.7</v>
      </c>
      <c r="I197" s="151">
        <v>7.6</v>
      </c>
      <c r="J197" s="151">
        <v>121.8</v>
      </c>
      <c r="K197" s="151">
        <v>5.76</v>
      </c>
      <c r="L197" s="151">
        <v>27.1</v>
      </c>
      <c r="M197" s="151">
        <v>834</v>
      </c>
      <c r="N197" s="151">
        <v>89.8</v>
      </c>
      <c r="O197" s="151">
        <v>6.41</v>
      </c>
      <c r="P197" s="151">
        <v>2.1</v>
      </c>
      <c r="Q197" s="151">
        <v>109</v>
      </c>
      <c r="R197" s="151">
        <v>20.2</v>
      </c>
      <c r="S197" s="151">
        <v>123</v>
      </c>
      <c r="T197" s="151">
        <v>31.2</v>
      </c>
      <c r="U197" s="151">
        <v>0.88900000000000001</v>
      </c>
      <c r="V197" s="151">
        <v>19.5</v>
      </c>
      <c r="W197" s="151">
        <v>4.7000000000000002E-3</v>
      </c>
      <c r="X197" s="151">
        <v>3.56</v>
      </c>
      <c r="Y197" s="151">
        <v>20.3</v>
      </c>
    </row>
    <row r="198" spans="1:25">
      <c r="B198" s="48">
        <v>107</v>
      </c>
      <c r="C198" s="79" t="s">
        <v>151</v>
      </c>
      <c r="D198" s="151">
        <v>13</v>
      </c>
      <c r="E198" s="151">
        <v>127</v>
      </c>
      <c r="F198" s="151">
        <v>76</v>
      </c>
      <c r="G198" s="151">
        <v>4</v>
      </c>
      <c r="H198" s="151">
        <v>7.6</v>
      </c>
      <c r="I198" s="151">
        <v>7.6</v>
      </c>
      <c r="J198" s="151">
        <v>96.6</v>
      </c>
      <c r="K198" s="151">
        <v>5</v>
      </c>
      <c r="L198" s="151">
        <v>24.2</v>
      </c>
      <c r="M198" s="151">
        <v>473</v>
      </c>
      <c r="N198" s="151">
        <v>55.7</v>
      </c>
      <c r="O198" s="151">
        <v>5.35</v>
      </c>
      <c r="P198" s="151">
        <v>1.84</v>
      </c>
      <c r="Q198" s="151">
        <v>74.599999999999994</v>
      </c>
      <c r="R198" s="151">
        <v>14.7</v>
      </c>
      <c r="S198" s="151">
        <v>84.2</v>
      </c>
      <c r="T198" s="151">
        <v>22.6</v>
      </c>
      <c r="U198" s="151">
        <v>0.89400000000000002</v>
      </c>
      <c r="V198" s="151">
        <v>16.3</v>
      </c>
      <c r="W198" s="151">
        <v>2E-3</v>
      </c>
      <c r="X198" s="151">
        <v>2.85</v>
      </c>
      <c r="Y198" s="151">
        <v>16.5</v>
      </c>
    </row>
    <row r="199" spans="1:25">
      <c r="B199" s="48">
        <v>108</v>
      </c>
      <c r="C199" s="79"/>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row>
    <row r="200" spans="1:25">
      <c r="A200" s="108" t="s">
        <v>204</v>
      </c>
      <c r="B200" s="48">
        <v>109</v>
      </c>
      <c r="C200" s="79" t="s">
        <v>372</v>
      </c>
      <c r="D200" s="151">
        <v>1299</v>
      </c>
      <c r="E200" s="151">
        <v>600</v>
      </c>
      <c r="F200" s="151">
        <v>476</v>
      </c>
      <c r="G200" s="151">
        <v>100</v>
      </c>
      <c r="H200" s="151">
        <v>140</v>
      </c>
      <c r="I200" s="151">
        <v>15.4</v>
      </c>
      <c r="J200" s="151">
        <v>290</v>
      </c>
      <c r="K200" s="151">
        <v>1.7</v>
      </c>
      <c r="L200" s="151">
        <v>2.9</v>
      </c>
      <c r="M200" s="151">
        <v>755000</v>
      </c>
      <c r="N200" s="151">
        <v>254000</v>
      </c>
      <c r="O200" s="151">
        <v>21.4</v>
      </c>
      <c r="P200" s="151">
        <v>12.4</v>
      </c>
      <c r="Q200" s="151">
        <v>25200</v>
      </c>
      <c r="R200" s="151">
        <v>10700</v>
      </c>
      <c r="S200" s="151">
        <v>33200</v>
      </c>
      <c r="T200" s="151">
        <v>16700</v>
      </c>
      <c r="U200" s="151">
        <v>0.84599999999999997</v>
      </c>
      <c r="V200" s="151">
        <v>3.42</v>
      </c>
      <c r="W200" s="151">
        <v>133.1</v>
      </c>
      <c r="X200" s="151">
        <v>94500</v>
      </c>
      <c r="Y200" s="151">
        <v>1655</v>
      </c>
    </row>
    <row r="201" spans="1:25">
      <c r="B201" s="48">
        <v>110</v>
      </c>
      <c r="C201" s="79" t="s">
        <v>373</v>
      </c>
      <c r="D201" s="151">
        <v>1202</v>
      </c>
      <c r="E201" s="151">
        <v>580</v>
      </c>
      <c r="F201" s="151">
        <v>471</v>
      </c>
      <c r="G201" s="151">
        <v>95</v>
      </c>
      <c r="H201" s="151">
        <v>130</v>
      </c>
      <c r="I201" s="151">
        <v>15.4</v>
      </c>
      <c r="J201" s="151">
        <v>290</v>
      </c>
      <c r="K201" s="151">
        <v>1.81</v>
      </c>
      <c r="L201" s="151">
        <v>3.05</v>
      </c>
      <c r="M201" s="151">
        <v>664000</v>
      </c>
      <c r="N201" s="151">
        <v>229000</v>
      </c>
      <c r="O201" s="151">
        <v>20.8</v>
      </c>
      <c r="P201" s="151">
        <v>12.2</v>
      </c>
      <c r="Q201" s="151">
        <v>22900</v>
      </c>
      <c r="R201" s="151">
        <v>9710</v>
      </c>
      <c r="S201" s="151">
        <v>30000</v>
      </c>
      <c r="T201" s="151">
        <v>15200</v>
      </c>
      <c r="U201" s="151">
        <v>0.84199999999999997</v>
      </c>
      <c r="V201" s="151">
        <v>3.59</v>
      </c>
      <c r="W201" s="151">
        <v>114.6</v>
      </c>
      <c r="X201" s="151">
        <v>76300</v>
      </c>
      <c r="Y201" s="151">
        <v>1531</v>
      </c>
    </row>
    <row r="202" spans="1:25">
      <c r="B202" s="48">
        <v>111</v>
      </c>
      <c r="C202" s="79" t="s">
        <v>374</v>
      </c>
      <c r="D202" s="151">
        <v>1086</v>
      </c>
      <c r="E202" s="151">
        <v>569</v>
      </c>
      <c r="F202" s="151">
        <v>454</v>
      </c>
      <c r="G202" s="151">
        <v>78</v>
      </c>
      <c r="H202" s="151">
        <v>125</v>
      </c>
      <c r="I202" s="151">
        <v>15</v>
      </c>
      <c r="J202" s="151">
        <v>290</v>
      </c>
      <c r="K202" s="151">
        <v>1.82</v>
      </c>
      <c r="L202" s="151">
        <v>3.72</v>
      </c>
      <c r="M202" s="151">
        <v>596000</v>
      </c>
      <c r="N202" s="151">
        <v>196000</v>
      </c>
      <c r="O202" s="151">
        <v>20.7</v>
      </c>
      <c r="P202" s="151">
        <v>11.9</v>
      </c>
      <c r="Q202" s="151">
        <v>20900</v>
      </c>
      <c r="R202" s="151">
        <v>8640</v>
      </c>
      <c r="S202" s="151">
        <v>27200</v>
      </c>
      <c r="T202" s="151">
        <v>13400</v>
      </c>
      <c r="U202" s="151">
        <v>0.85199999999999998</v>
      </c>
      <c r="V202" s="151">
        <v>3.79</v>
      </c>
      <c r="W202" s="151">
        <v>96.1</v>
      </c>
      <c r="X202" s="151">
        <v>60500</v>
      </c>
      <c r="Y202" s="151">
        <v>1386</v>
      </c>
    </row>
    <row r="203" spans="1:25">
      <c r="B203" s="48">
        <v>112</v>
      </c>
      <c r="C203" s="79" t="s">
        <v>375</v>
      </c>
      <c r="D203" s="151">
        <v>990</v>
      </c>
      <c r="E203" s="151">
        <v>550</v>
      </c>
      <c r="F203" s="151">
        <v>448</v>
      </c>
      <c r="G203" s="151">
        <v>71.900000000000006</v>
      </c>
      <c r="H203" s="151">
        <v>115</v>
      </c>
      <c r="I203" s="151">
        <v>15</v>
      </c>
      <c r="J203" s="151">
        <v>290</v>
      </c>
      <c r="K203" s="151">
        <v>1.95</v>
      </c>
      <c r="L203" s="151">
        <v>4.03</v>
      </c>
      <c r="M203" s="151">
        <v>519000</v>
      </c>
      <c r="N203" s="151">
        <v>173000</v>
      </c>
      <c r="O203" s="151">
        <v>20.3</v>
      </c>
      <c r="P203" s="151">
        <v>11.7</v>
      </c>
      <c r="Q203" s="151">
        <v>18900</v>
      </c>
      <c r="R203" s="151">
        <v>7740</v>
      </c>
      <c r="S203" s="151">
        <v>24300</v>
      </c>
      <c r="T203" s="151">
        <v>12000</v>
      </c>
      <c r="U203" s="151">
        <v>0.85099999999999998</v>
      </c>
      <c r="V203" s="151">
        <v>4.0199999999999996</v>
      </c>
      <c r="W203" s="151">
        <v>81.5</v>
      </c>
      <c r="X203" s="151">
        <v>46900</v>
      </c>
      <c r="Y203" s="151">
        <v>1262</v>
      </c>
    </row>
    <row r="204" spans="1:25">
      <c r="B204" s="48">
        <v>113</v>
      </c>
      <c r="C204" s="79" t="s">
        <v>376</v>
      </c>
      <c r="D204" s="151">
        <v>900</v>
      </c>
      <c r="E204" s="151">
        <v>531</v>
      </c>
      <c r="F204" s="151">
        <v>442</v>
      </c>
      <c r="G204" s="151">
        <v>65.900000000000006</v>
      </c>
      <c r="H204" s="151">
        <v>106</v>
      </c>
      <c r="I204" s="151">
        <v>15</v>
      </c>
      <c r="J204" s="151">
        <v>290</v>
      </c>
      <c r="K204" s="151">
        <v>2.08</v>
      </c>
      <c r="L204" s="151">
        <v>4.4000000000000004</v>
      </c>
      <c r="M204" s="151">
        <v>450000</v>
      </c>
      <c r="N204" s="151">
        <v>153000</v>
      </c>
      <c r="O204" s="151">
        <v>19.8</v>
      </c>
      <c r="P204" s="151">
        <v>11.6</v>
      </c>
      <c r="Q204" s="151">
        <v>17000</v>
      </c>
      <c r="R204" s="151">
        <v>6940</v>
      </c>
      <c r="S204" s="151">
        <v>21600</v>
      </c>
      <c r="T204" s="151">
        <v>10700</v>
      </c>
      <c r="U204" s="151">
        <v>0.84899999999999998</v>
      </c>
      <c r="V204" s="151">
        <v>4.26</v>
      </c>
      <c r="W204" s="151">
        <v>68.900000000000006</v>
      </c>
      <c r="X204" s="151">
        <v>36400</v>
      </c>
      <c r="Y204" s="151">
        <v>1149</v>
      </c>
    </row>
    <row r="205" spans="1:25">
      <c r="B205" s="48">
        <v>114</v>
      </c>
      <c r="C205" s="79" t="s">
        <v>377</v>
      </c>
      <c r="D205" s="151">
        <v>818</v>
      </c>
      <c r="E205" s="151">
        <v>514</v>
      </c>
      <c r="F205" s="151">
        <v>437</v>
      </c>
      <c r="G205" s="151">
        <v>60.5</v>
      </c>
      <c r="H205" s="151">
        <v>97</v>
      </c>
      <c r="I205" s="151">
        <v>15</v>
      </c>
      <c r="J205" s="151">
        <v>290</v>
      </c>
      <c r="K205" s="151">
        <v>2.25</v>
      </c>
      <c r="L205" s="151">
        <v>4.79</v>
      </c>
      <c r="M205" s="151">
        <v>392000</v>
      </c>
      <c r="N205" s="151">
        <v>136000</v>
      </c>
      <c r="O205" s="151">
        <v>19.399999999999999</v>
      </c>
      <c r="P205" s="151">
        <v>11.4</v>
      </c>
      <c r="Q205" s="151">
        <v>15300</v>
      </c>
      <c r="R205" s="151">
        <v>6200</v>
      </c>
      <c r="S205" s="151">
        <v>19300</v>
      </c>
      <c r="T205" s="151">
        <v>9560</v>
      </c>
      <c r="U205" s="151">
        <v>0.84699999999999998</v>
      </c>
      <c r="V205" s="151">
        <v>4.55</v>
      </c>
      <c r="W205" s="151">
        <v>58.6</v>
      </c>
      <c r="X205" s="151">
        <v>27800</v>
      </c>
      <c r="Y205" s="151">
        <v>1043</v>
      </c>
    </row>
    <row r="206" spans="1:25">
      <c r="B206" s="48">
        <v>115</v>
      </c>
      <c r="C206" s="79" t="s">
        <v>378</v>
      </c>
      <c r="D206" s="151">
        <v>744</v>
      </c>
      <c r="E206" s="151">
        <v>498</v>
      </c>
      <c r="F206" s="151">
        <v>432</v>
      </c>
      <c r="G206" s="151">
        <v>55.6</v>
      </c>
      <c r="H206" s="151">
        <v>88.9</v>
      </c>
      <c r="I206" s="151">
        <v>15</v>
      </c>
      <c r="J206" s="151">
        <v>290</v>
      </c>
      <c r="K206" s="151">
        <v>2.4300000000000002</v>
      </c>
      <c r="L206" s="151">
        <v>5.22</v>
      </c>
      <c r="M206" s="151">
        <v>342000</v>
      </c>
      <c r="N206" s="151">
        <v>120000</v>
      </c>
      <c r="O206" s="151">
        <v>19</v>
      </c>
      <c r="P206" s="151">
        <v>11.3</v>
      </c>
      <c r="Q206" s="151">
        <v>13700</v>
      </c>
      <c r="R206" s="151">
        <v>5550</v>
      </c>
      <c r="S206" s="151">
        <v>17200</v>
      </c>
      <c r="T206" s="151">
        <v>8550</v>
      </c>
      <c r="U206" s="151">
        <v>0.84499999999999997</v>
      </c>
      <c r="V206" s="151">
        <v>4.8600000000000003</v>
      </c>
      <c r="W206" s="151">
        <v>50</v>
      </c>
      <c r="X206" s="151">
        <v>21400</v>
      </c>
      <c r="Y206" s="151">
        <v>948</v>
      </c>
    </row>
    <row r="207" spans="1:25">
      <c r="B207" s="48">
        <v>116</v>
      </c>
      <c r="C207" s="79" t="s">
        <v>379</v>
      </c>
      <c r="D207" s="151">
        <v>677</v>
      </c>
      <c r="E207" s="151">
        <v>483</v>
      </c>
      <c r="F207" s="151">
        <v>428</v>
      </c>
      <c r="G207" s="151">
        <v>51.2</v>
      </c>
      <c r="H207" s="151">
        <v>81.5</v>
      </c>
      <c r="I207" s="151">
        <v>15</v>
      </c>
      <c r="J207" s="151">
        <v>290</v>
      </c>
      <c r="K207" s="151">
        <v>2.63</v>
      </c>
      <c r="L207" s="151">
        <v>5.66</v>
      </c>
      <c r="M207" s="151">
        <v>300000</v>
      </c>
      <c r="N207" s="151">
        <v>107000</v>
      </c>
      <c r="O207" s="151">
        <v>18.600000000000001</v>
      </c>
      <c r="P207" s="151">
        <v>11.1</v>
      </c>
      <c r="Q207" s="151">
        <v>12400</v>
      </c>
      <c r="R207" s="151">
        <v>4990</v>
      </c>
      <c r="S207" s="151">
        <v>15400</v>
      </c>
      <c r="T207" s="151">
        <v>7680</v>
      </c>
      <c r="U207" s="151">
        <v>0.84399999999999997</v>
      </c>
      <c r="V207" s="151">
        <v>5.19</v>
      </c>
      <c r="W207" s="151">
        <v>42.9</v>
      </c>
      <c r="X207" s="151">
        <v>16400</v>
      </c>
      <c r="Y207" s="151">
        <v>863</v>
      </c>
    </row>
    <row r="208" spans="1:25">
      <c r="B208" s="48">
        <v>117</v>
      </c>
      <c r="C208" s="79" t="s">
        <v>152</v>
      </c>
      <c r="D208" s="151">
        <v>633.9</v>
      </c>
      <c r="E208" s="151">
        <v>474.6</v>
      </c>
      <c r="F208" s="151">
        <v>424</v>
      </c>
      <c r="G208" s="151">
        <v>47.6</v>
      </c>
      <c r="H208" s="151">
        <v>77</v>
      </c>
      <c r="I208" s="151">
        <v>15.2</v>
      </c>
      <c r="J208" s="151">
        <v>290.2</v>
      </c>
      <c r="K208" s="151">
        <v>2.75</v>
      </c>
      <c r="L208" s="151">
        <v>6.1</v>
      </c>
      <c r="M208" s="151">
        <v>275000</v>
      </c>
      <c r="N208" s="151">
        <v>98100</v>
      </c>
      <c r="O208" s="151">
        <v>18.399999999999999</v>
      </c>
      <c r="P208" s="151">
        <v>11</v>
      </c>
      <c r="Q208" s="151">
        <v>11600</v>
      </c>
      <c r="R208" s="151">
        <v>4630</v>
      </c>
      <c r="S208" s="151">
        <v>14200</v>
      </c>
      <c r="T208" s="151">
        <v>7110</v>
      </c>
      <c r="U208" s="151">
        <v>0.84199999999999997</v>
      </c>
      <c r="V208" s="151">
        <v>5.46</v>
      </c>
      <c r="W208" s="151">
        <v>38.799999999999997</v>
      </c>
      <c r="X208" s="151">
        <v>13700</v>
      </c>
      <c r="Y208" s="151">
        <v>808</v>
      </c>
    </row>
    <row r="209" spans="2:25">
      <c r="B209" s="48">
        <v>118</v>
      </c>
      <c r="C209" s="79" t="s">
        <v>380</v>
      </c>
      <c r="D209" s="151">
        <v>592</v>
      </c>
      <c r="E209" s="151">
        <v>465</v>
      </c>
      <c r="F209" s="151">
        <v>421</v>
      </c>
      <c r="G209" s="151">
        <v>45</v>
      </c>
      <c r="H209" s="151">
        <v>72.3</v>
      </c>
      <c r="I209" s="151">
        <v>15</v>
      </c>
      <c r="J209" s="151">
        <v>290</v>
      </c>
      <c r="K209" s="151">
        <v>2.91</v>
      </c>
      <c r="L209" s="151">
        <v>6.44</v>
      </c>
      <c r="M209" s="151">
        <v>250000</v>
      </c>
      <c r="N209" s="151">
        <v>90200</v>
      </c>
      <c r="O209" s="151">
        <v>18.2</v>
      </c>
      <c r="P209" s="151">
        <v>10.9</v>
      </c>
      <c r="Q209" s="151">
        <v>10800</v>
      </c>
      <c r="R209" s="151">
        <v>4280</v>
      </c>
      <c r="S209" s="151">
        <v>13100</v>
      </c>
      <c r="T209" s="151">
        <v>6570</v>
      </c>
      <c r="U209" s="151">
        <v>0.84299999999999997</v>
      </c>
      <c r="V209" s="151">
        <v>5.72</v>
      </c>
      <c r="W209" s="151">
        <v>34.700000000000003</v>
      </c>
      <c r="X209" s="151">
        <v>11400</v>
      </c>
      <c r="Y209" s="151">
        <v>755</v>
      </c>
    </row>
    <row r="210" spans="2:25">
      <c r="B210" s="48">
        <v>119</v>
      </c>
      <c r="C210" s="79" t="s">
        <v>153</v>
      </c>
      <c r="D210" s="151">
        <v>551</v>
      </c>
      <c r="E210" s="151">
        <v>455.6</v>
      </c>
      <c r="F210" s="151">
        <v>418.5</v>
      </c>
      <c r="G210" s="151">
        <v>42.1</v>
      </c>
      <c r="H210" s="151">
        <v>67.5</v>
      </c>
      <c r="I210" s="151">
        <v>15.2</v>
      </c>
      <c r="J210" s="151">
        <v>290.2</v>
      </c>
      <c r="K210" s="151">
        <v>3.1</v>
      </c>
      <c r="L210" s="151">
        <v>6.89</v>
      </c>
      <c r="M210" s="151">
        <v>227000</v>
      </c>
      <c r="N210" s="151">
        <v>82700</v>
      </c>
      <c r="O210" s="151">
        <v>18</v>
      </c>
      <c r="P210" s="151">
        <v>10.9</v>
      </c>
      <c r="Q210" s="151">
        <v>9960</v>
      </c>
      <c r="R210" s="151">
        <v>3950</v>
      </c>
      <c r="S210" s="151">
        <v>12100</v>
      </c>
      <c r="T210" s="151">
        <v>6060</v>
      </c>
      <c r="U210" s="151">
        <v>0.84199999999999997</v>
      </c>
      <c r="V210" s="151">
        <v>6.05</v>
      </c>
      <c r="W210" s="151">
        <v>31.1</v>
      </c>
      <c r="X210" s="151">
        <v>9240</v>
      </c>
      <c r="Y210" s="151">
        <v>702</v>
      </c>
    </row>
    <row r="211" spans="2:25">
      <c r="B211" s="48">
        <v>120</v>
      </c>
      <c r="C211" s="79" t="s">
        <v>381</v>
      </c>
      <c r="D211" s="151">
        <v>509</v>
      </c>
      <c r="E211" s="151">
        <v>446</v>
      </c>
      <c r="F211" s="151">
        <v>416</v>
      </c>
      <c r="G211" s="151">
        <v>39.1</v>
      </c>
      <c r="H211" s="151">
        <v>62.7</v>
      </c>
      <c r="I211" s="151">
        <v>15</v>
      </c>
      <c r="J211" s="151">
        <v>290</v>
      </c>
      <c r="K211" s="151">
        <v>3.32</v>
      </c>
      <c r="L211" s="151">
        <v>7.42</v>
      </c>
      <c r="M211" s="151">
        <v>204000</v>
      </c>
      <c r="N211" s="151">
        <v>75400</v>
      </c>
      <c r="O211" s="151">
        <v>17.8</v>
      </c>
      <c r="P211" s="151">
        <v>10.8</v>
      </c>
      <c r="Q211" s="151">
        <v>9170</v>
      </c>
      <c r="R211" s="151">
        <v>3620</v>
      </c>
      <c r="S211" s="151">
        <v>11000</v>
      </c>
      <c r="T211" s="151">
        <v>5550</v>
      </c>
      <c r="U211" s="151">
        <v>0.84</v>
      </c>
      <c r="V211" s="151">
        <v>6.42</v>
      </c>
      <c r="W211" s="151">
        <v>27.6</v>
      </c>
      <c r="X211" s="151">
        <v>7390</v>
      </c>
      <c r="Y211" s="151">
        <v>649</v>
      </c>
    </row>
    <row r="212" spans="2:25">
      <c r="B212" s="48">
        <v>121</v>
      </c>
      <c r="C212" s="79" t="s">
        <v>154</v>
      </c>
      <c r="D212" s="151">
        <v>467</v>
      </c>
      <c r="E212" s="151">
        <v>436.6</v>
      </c>
      <c r="F212" s="151">
        <v>412.2</v>
      </c>
      <c r="G212" s="151">
        <v>35.799999999999997</v>
      </c>
      <c r="H212" s="151">
        <v>58</v>
      </c>
      <c r="I212" s="151">
        <v>15.2</v>
      </c>
      <c r="J212" s="151">
        <v>290.2</v>
      </c>
      <c r="K212" s="151">
        <v>3.55</v>
      </c>
      <c r="L212" s="151">
        <v>8.11</v>
      </c>
      <c r="M212" s="151">
        <v>183000</v>
      </c>
      <c r="N212" s="151">
        <v>67800</v>
      </c>
      <c r="O212" s="151">
        <v>17.5</v>
      </c>
      <c r="P212" s="151">
        <v>10.7</v>
      </c>
      <c r="Q212" s="151">
        <v>8380</v>
      </c>
      <c r="R212" s="151">
        <v>3290</v>
      </c>
      <c r="S212" s="151">
        <v>10000</v>
      </c>
      <c r="T212" s="151">
        <v>5030</v>
      </c>
      <c r="U212" s="151">
        <v>0.83899999999999997</v>
      </c>
      <c r="V212" s="151">
        <v>6.85</v>
      </c>
      <c r="W212" s="151">
        <v>24.3</v>
      </c>
      <c r="X212" s="151">
        <v>5810</v>
      </c>
      <c r="Y212" s="151">
        <v>595</v>
      </c>
    </row>
    <row r="213" spans="2:25">
      <c r="B213" s="48">
        <v>122</v>
      </c>
      <c r="C213" s="79" t="s">
        <v>155</v>
      </c>
      <c r="D213" s="151">
        <v>393</v>
      </c>
      <c r="E213" s="151">
        <v>419</v>
      </c>
      <c r="F213" s="151">
        <v>407</v>
      </c>
      <c r="G213" s="151">
        <v>30.6</v>
      </c>
      <c r="H213" s="151">
        <v>49.2</v>
      </c>
      <c r="I213" s="151">
        <v>15.2</v>
      </c>
      <c r="J213" s="151">
        <v>290.2</v>
      </c>
      <c r="K213" s="151">
        <v>4.1399999999999997</v>
      </c>
      <c r="L213" s="151">
        <v>9.48</v>
      </c>
      <c r="M213" s="151">
        <v>147000</v>
      </c>
      <c r="N213" s="151">
        <v>55400</v>
      </c>
      <c r="O213" s="151">
        <v>17.100000000000001</v>
      </c>
      <c r="P213" s="151">
        <v>10.5</v>
      </c>
      <c r="Q213" s="151">
        <v>7000</v>
      </c>
      <c r="R213" s="151">
        <v>2720</v>
      </c>
      <c r="S213" s="151">
        <v>8220</v>
      </c>
      <c r="T213" s="151">
        <v>4150</v>
      </c>
      <c r="U213" s="151">
        <v>0.83699999999999997</v>
      </c>
      <c r="V213" s="151">
        <v>7.85</v>
      </c>
      <c r="W213" s="151">
        <v>18.899999999999999</v>
      </c>
      <c r="X213" s="151">
        <v>3550</v>
      </c>
      <c r="Y213" s="151">
        <v>501</v>
      </c>
    </row>
    <row r="214" spans="2:25">
      <c r="B214" s="48">
        <v>123</v>
      </c>
      <c r="C214" s="79" t="s">
        <v>156</v>
      </c>
      <c r="D214" s="151">
        <v>339.9</v>
      </c>
      <c r="E214" s="151">
        <v>406.4</v>
      </c>
      <c r="F214" s="151">
        <v>403</v>
      </c>
      <c r="G214" s="151">
        <v>26.6</v>
      </c>
      <c r="H214" s="151">
        <v>42.9</v>
      </c>
      <c r="I214" s="151">
        <v>15.2</v>
      </c>
      <c r="J214" s="151">
        <v>290.2</v>
      </c>
      <c r="K214" s="151">
        <v>4.7</v>
      </c>
      <c r="L214" s="151">
        <v>10.91</v>
      </c>
      <c r="M214" s="151">
        <v>123000</v>
      </c>
      <c r="N214" s="151">
        <v>46900</v>
      </c>
      <c r="O214" s="151">
        <v>16.8</v>
      </c>
      <c r="P214" s="151">
        <v>10.4</v>
      </c>
      <c r="Q214" s="151">
        <v>6030</v>
      </c>
      <c r="R214" s="151">
        <v>2330</v>
      </c>
      <c r="S214" s="151">
        <v>7000</v>
      </c>
      <c r="T214" s="151">
        <v>3540</v>
      </c>
      <c r="U214" s="151">
        <v>0.83599999999999997</v>
      </c>
      <c r="V214" s="151">
        <v>8.85</v>
      </c>
      <c r="W214" s="151">
        <v>15.5</v>
      </c>
      <c r="X214" s="151">
        <v>2340</v>
      </c>
      <c r="Y214" s="151">
        <v>433</v>
      </c>
    </row>
    <row r="215" spans="2:25">
      <c r="B215" s="48">
        <v>124</v>
      </c>
      <c r="C215" s="79" t="s">
        <v>157</v>
      </c>
      <c r="D215" s="151">
        <v>287.10000000000002</v>
      </c>
      <c r="E215" s="151">
        <v>393.6</v>
      </c>
      <c r="F215" s="151">
        <v>399</v>
      </c>
      <c r="G215" s="151">
        <v>22.6</v>
      </c>
      <c r="H215" s="151">
        <v>36.5</v>
      </c>
      <c r="I215" s="151">
        <v>15.2</v>
      </c>
      <c r="J215" s="151">
        <v>290.2</v>
      </c>
      <c r="K215" s="151">
        <v>5.47</v>
      </c>
      <c r="L215" s="151">
        <v>12.84</v>
      </c>
      <c r="M215" s="151">
        <v>99900</v>
      </c>
      <c r="N215" s="151">
        <v>38700</v>
      </c>
      <c r="O215" s="151">
        <v>16.5</v>
      </c>
      <c r="P215" s="151">
        <v>10.3</v>
      </c>
      <c r="Q215" s="151">
        <v>5070</v>
      </c>
      <c r="R215" s="151">
        <v>1940</v>
      </c>
      <c r="S215" s="151">
        <v>5810</v>
      </c>
      <c r="T215" s="151">
        <v>2950</v>
      </c>
      <c r="U215" s="151">
        <v>0.83499999999999996</v>
      </c>
      <c r="V215" s="151">
        <v>10.199999999999999</v>
      </c>
      <c r="W215" s="151">
        <v>12.3</v>
      </c>
      <c r="X215" s="151">
        <v>1440</v>
      </c>
      <c r="Y215" s="151">
        <v>366</v>
      </c>
    </row>
    <row r="216" spans="2:25">
      <c r="B216" s="48">
        <v>125</v>
      </c>
      <c r="C216" s="79" t="s">
        <v>158</v>
      </c>
      <c r="D216" s="151">
        <v>235.1</v>
      </c>
      <c r="E216" s="151">
        <v>381</v>
      </c>
      <c r="F216" s="151">
        <v>394.8</v>
      </c>
      <c r="G216" s="151">
        <v>18.399999999999999</v>
      </c>
      <c r="H216" s="151">
        <v>30.2</v>
      </c>
      <c r="I216" s="151">
        <v>15.2</v>
      </c>
      <c r="J216" s="151">
        <v>290.2</v>
      </c>
      <c r="K216" s="151">
        <v>6.54</v>
      </c>
      <c r="L216" s="151">
        <v>15.77</v>
      </c>
      <c r="M216" s="151">
        <v>79100</v>
      </c>
      <c r="N216" s="151">
        <v>31000</v>
      </c>
      <c r="O216" s="151">
        <v>16.3</v>
      </c>
      <c r="P216" s="151">
        <v>10.199999999999999</v>
      </c>
      <c r="Q216" s="151">
        <v>4150</v>
      </c>
      <c r="R216" s="151">
        <v>1570</v>
      </c>
      <c r="S216" s="151">
        <v>4690</v>
      </c>
      <c r="T216" s="151">
        <v>2380</v>
      </c>
      <c r="U216" s="151">
        <v>0.83499999999999996</v>
      </c>
      <c r="V216" s="151">
        <v>12</v>
      </c>
      <c r="W216" s="151">
        <v>9.5399999999999991</v>
      </c>
      <c r="X216" s="151">
        <v>812</v>
      </c>
      <c r="Y216" s="151">
        <v>299</v>
      </c>
    </row>
    <row r="217" spans="2:25">
      <c r="B217" s="48">
        <v>126</v>
      </c>
      <c r="C217" s="79" t="s">
        <v>159</v>
      </c>
      <c r="D217" s="151">
        <v>201.9</v>
      </c>
      <c r="E217" s="151">
        <v>374.6</v>
      </c>
      <c r="F217" s="151">
        <v>374.7</v>
      </c>
      <c r="G217" s="151">
        <v>16.5</v>
      </c>
      <c r="H217" s="151">
        <v>27</v>
      </c>
      <c r="I217" s="151">
        <v>15.2</v>
      </c>
      <c r="J217" s="151">
        <v>290.2</v>
      </c>
      <c r="K217" s="151">
        <v>6.94</v>
      </c>
      <c r="L217" s="151">
        <v>17.59</v>
      </c>
      <c r="M217" s="151">
        <v>66300</v>
      </c>
      <c r="N217" s="151">
        <v>23700</v>
      </c>
      <c r="O217" s="151">
        <v>16.100000000000001</v>
      </c>
      <c r="P217" s="151">
        <v>9.6</v>
      </c>
      <c r="Q217" s="151">
        <v>3540</v>
      </c>
      <c r="R217" s="151">
        <v>1260</v>
      </c>
      <c r="S217" s="151">
        <v>3970</v>
      </c>
      <c r="T217" s="151">
        <v>1920</v>
      </c>
      <c r="U217" s="151">
        <v>0.84399999999999997</v>
      </c>
      <c r="V217" s="151">
        <v>13.3</v>
      </c>
      <c r="W217" s="151">
        <v>7.16</v>
      </c>
      <c r="X217" s="151">
        <v>558</v>
      </c>
      <c r="Y217" s="151">
        <v>257</v>
      </c>
    </row>
    <row r="218" spans="2:25">
      <c r="B218" s="48">
        <v>127</v>
      </c>
      <c r="C218" s="79" t="s">
        <v>160</v>
      </c>
      <c r="D218" s="151">
        <v>177</v>
      </c>
      <c r="E218" s="151">
        <v>368.2</v>
      </c>
      <c r="F218" s="151">
        <v>372.6</v>
      </c>
      <c r="G218" s="151">
        <v>14.4</v>
      </c>
      <c r="H218" s="151">
        <v>23.8</v>
      </c>
      <c r="I218" s="151">
        <v>15.2</v>
      </c>
      <c r="J218" s="151">
        <v>290.2</v>
      </c>
      <c r="K218" s="151">
        <v>7.83</v>
      </c>
      <c r="L218" s="151">
        <v>20.149999999999999</v>
      </c>
      <c r="M218" s="151">
        <v>57100</v>
      </c>
      <c r="N218" s="151">
        <v>20500</v>
      </c>
      <c r="O218" s="151">
        <v>15.9</v>
      </c>
      <c r="P218" s="151">
        <v>9.5399999999999991</v>
      </c>
      <c r="Q218" s="151">
        <v>3100</v>
      </c>
      <c r="R218" s="151">
        <v>1100</v>
      </c>
      <c r="S218" s="151">
        <v>3460</v>
      </c>
      <c r="T218" s="151">
        <v>1670</v>
      </c>
      <c r="U218" s="151">
        <v>0.84299999999999997</v>
      </c>
      <c r="V218" s="151">
        <v>15</v>
      </c>
      <c r="W218" s="151">
        <v>6.09</v>
      </c>
      <c r="X218" s="151">
        <v>381</v>
      </c>
      <c r="Y218" s="151">
        <v>226</v>
      </c>
    </row>
    <row r="219" spans="2:25">
      <c r="B219" s="48">
        <v>128</v>
      </c>
      <c r="C219" s="79" t="s">
        <v>161</v>
      </c>
      <c r="D219" s="151">
        <v>152.9</v>
      </c>
      <c r="E219" s="151">
        <v>362</v>
      </c>
      <c r="F219" s="151">
        <v>370.5</v>
      </c>
      <c r="G219" s="151">
        <v>12.3</v>
      </c>
      <c r="H219" s="151">
        <v>20.7</v>
      </c>
      <c r="I219" s="151">
        <v>15.2</v>
      </c>
      <c r="J219" s="151">
        <v>290.2</v>
      </c>
      <c r="K219" s="151">
        <v>8.9499999999999993</v>
      </c>
      <c r="L219" s="151">
        <v>23.59</v>
      </c>
      <c r="M219" s="151">
        <v>48600</v>
      </c>
      <c r="N219" s="151">
        <v>17600</v>
      </c>
      <c r="O219" s="151">
        <v>15.8</v>
      </c>
      <c r="P219" s="151">
        <v>9.49</v>
      </c>
      <c r="Q219" s="151">
        <v>2680</v>
      </c>
      <c r="R219" s="151">
        <v>948</v>
      </c>
      <c r="S219" s="151">
        <v>2960</v>
      </c>
      <c r="T219" s="151">
        <v>1430</v>
      </c>
      <c r="U219" s="151">
        <v>0.84299999999999997</v>
      </c>
      <c r="V219" s="151">
        <v>17</v>
      </c>
      <c r="W219" s="151">
        <v>5.1100000000000003</v>
      </c>
      <c r="X219" s="151">
        <v>251</v>
      </c>
      <c r="Y219" s="151">
        <v>195</v>
      </c>
    </row>
    <row r="220" spans="2:25">
      <c r="B220" s="48">
        <v>129</v>
      </c>
      <c r="C220" s="79" t="s">
        <v>162</v>
      </c>
      <c r="D220" s="151">
        <v>129</v>
      </c>
      <c r="E220" s="151">
        <v>355.6</v>
      </c>
      <c r="F220" s="151">
        <v>368.6</v>
      </c>
      <c r="G220" s="151">
        <v>10.4</v>
      </c>
      <c r="H220" s="151">
        <v>17.5</v>
      </c>
      <c r="I220" s="151">
        <v>15.2</v>
      </c>
      <c r="J220" s="151">
        <v>290.2</v>
      </c>
      <c r="K220" s="151">
        <v>10.53</v>
      </c>
      <c r="L220" s="151">
        <v>27.9</v>
      </c>
      <c r="M220" s="151">
        <v>40200</v>
      </c>
      <c r="N220" s="151">
        <v>14600</v>
      </c>
      <c r="O220" s="151">
        <v>15.6</v>
      </c>
      <c r="P220" s="151">
        <v>9.43</v>
      </c>
      <c r="Q220" s="151">
        <v>2260</v>
      </c>
      <c r="R220" s="151">
        <v>793</v>
      </c>
      <c r="S220" s="151">
        <v>2480</v>
      </c>
      <c r="T220" s="151">
        <v>1200</v>
      </c>
      <c r="U220" s="151">
        <v>0.84499999999999997</v>
      </c>
      <c r="V220" s="151">
        <v>19.8</v>
      </c>
      <c r="W220" s="151">
        <v>4.18</v>
      </c>
      <c r="X220" s="151">
        <v>153</v>
      </c>
      <c r="Y220" s="151">
        <v>164</v>
      </c>
    </row>
    <row r="221" spans="2:25">
      <c r="B221" s="48">
        <v>130</v>
      </c>
      <c r="C221" s="79" t="s">
        <v>163</v>
      </c>
      <c r="D221" s="151">
        <v>282.89999999999998</v>
      </c>
      <c r="E221" s="151">
        <v>365.3</v>
      </c>
      <c r="F221" s="151">
        <v>322.2</v>
      </c>
      <c r="G221" s="151">
        <v>26.8</v>
      </c>
      <c r="H221" s="151">
        <v>44.1</v>
      </c>
      <c r="I221" s="151">
        <v>15.2</v>
      </c>
      <c r="J221" s="151">
        <v>246.7</v>
      </c>
      <c r="K221" s="151">
        <v>3.65</v>
      </c>
      <c r="L221" s="151">
        <v>9.2100000000000009</v>
      </c>
      <c r="M221" s="151">
        <v>78900</v>
      </c>
      <c r="N221" s="151">
        <v>24600</v>
      </c>
      <c r="O221" s="151">
        <v>14.8</v>
      </c>
      <c r="P221" s="151">
        <v>8.27</v>
      </c>
      <c r="Q221" s="151">
        <v>4320</v>
      </c>
      <c r="R221" s="151">
        <v>1530</v>
      </c>
      <c r="S221" s="151">
        <v>5110</v>
      </c>
      <c r="T221" s="151">
        <v>2340</v>
      </c>
      <c r="U221" s="151">
        <v>0.85599999999999998</v>
      </c>
      <c r="V221" s="151">
        <v>7.65</v>
      </c>
      <c r="W221" s="151">
        <v>6.35</v>
      </c>
      <c r="X221" s="151">
        <v>2030</v>
      </c>
      <c r="Y221" s="151">
        <v>360</v>
      </c>
    </row>
    <row r="222" spans="2:25">
      <c r="B222" s="48">
        <v>131</v>
      </c>
      <c r="C222" s="79" t="s">
        <v>164</v>
      </c>
      <c r="D222" s="151">
        <v>240</v>
      </c>
      <c r="E222" s="151">
        <v>352.5</v>
      </c>
      <c r="F222" s="151">
        <v>318.39999999999998</v>
      </c>
      <c r="G222" s="151">
        <v>23</v>
      </c>
      <c r="H222" s="151">
        <v>37.700000000000003</v>
      </c>
      <c r="I222" s="151">
        <v>15.2</v>
      </c>
      <c r="J222" s="151">
        <v>246.7</v>
      </c>
      <c r="K222" s="151">
        <v>4.22</v>
      </c>
      <c r="L222" s="151">
        <v>10.73</v>
      </c>
      <c r="M222" s="151">
        <v>64200</v>
      </c>
      <c r="N222" s="151">
        <v>20300</v>
      </c>
      <c r="O222" s="151">
        <v>14.5</v>
      </c>
      <c r="P222" s="151">
        <v>8.15</v>
      </c>
      <c r="Q222" s="151">
        <v>3640</v>
      </c>
      <c r="R222" s="151">
        <v>1280</v>
      </c>
      <c r="S222" s="151">
        <v>4250</v>
      </c>
      <c r="T222" s="151">
        <v>1950</v>
      </c>
      <c r="U222" s="151">
        <v>0.85399999999999998</v>
      </c>
      <c r="V222" s="151">
        <v>8.74</v>
      </c>
      <c r="W222" s="151">
        <v>5.03</v>
      </c>
      <c r="X222" s="151">
        <v>1270</v>
      </c>
      <c r="Y222" s="151">
        <v>306</v>
      </c>
    </row>
    <row r="223" spans="2:25">
      <c r="B223" s="48">
        <v>132</v>
      </c>
      <c r="C223" s="79" t="s">
        <v>165</v>
      </c>
      <c r="D223" s="151">
        <v>198.1</v>
      </c>
      <c r="E223" s="151">
        <v>339.9</v>
      </c>
      <c r="F223" s="151">
        <v>314.5</v>
      </c>
      <c r="G223" s="151">
        <v>19.100000000000001</v>
      </c>
      <c r="H223" s="151">
        <v>31.4</v>
      </c>
      <c r="I223" s="151">
        <v>15.2</v>
      </c>
      <c r="J223" s="151">
        <v>246.7</v>
      </c>
      <c r="K223" s="151">
        <v>5.01</v>
      </c>
      <c r="L223" s="151">
        <v>12.92</v>
      </c>
      <c r="M223" s="151">
        <v>50900</v>
      </c>
      <c r="N223" s="151">
        <v>16300</v>
      </c>
      <c r="O223" s="151">
        <v>14.2</v>
      </c>
      <c r="P223" s="151">
        <v>8.0399999999999991</v>
      </c>
      <c r="Q223" s="151">
        <v>3000</v>
      </c>
      <c r="R223" s="151">
        <v>1040</v>
      </c>
      <c r="S223" s="151">
        <v>3440</v>
      </c>
      <c r="T223" s="151">
        <v>1580</v>
      </c>
      <c r="U223" s="151">
        <v>0.85399999999999998</v>
      </c>
      <c r="V223" s="151">
        <v>10.199999999999999</v>
      </c>
      <c r="W223" s="151">
        <v>3.88</v>
      </c>
      <c r="X223" s="151">
        <v>734</v>
      </c>
      <c r="Y223" s="151">
        <v>252</v>
      </c>
    </row>
    <row r="224" spans="2:25">
      <c r="B224" s="48">
        <v>133</v>
      </c>
      <c r="C224" s="79" t="s">
        <v>166</v>
      </c>
      <c r="D224" s="151">
        <v>158.1</v>
      </c>
      <c r="E224" s="151">
        <v>327.10000000000002</v>
      </c>
      <c r="F224" s="151">
        <v>311.2</v>
      </c>
      <c r="G224" s="151">
        <v>15.8</v>
      </c>
      <c r="H224" s="151">
        <v>25</v>
      </c>
      <c r="I224" s="151">
        <v>15.2</v>
      </c>
      <c r="J224" s="151">
        <v>246.7</v>
      </c>
      <c r="K224" s="151">
        <v>6.22</v>
      </c>
      <c r="L224" s="151">
        <v>15.61</v>
      </c>
      <c r="M224" s="151">
        <v>38700</v>
      </c>
      <c r="N224" s="151">
        <v>12600</v>
      </c>
      <c r="O224" s="151">
        <v>13.9</v>
      </c>
      <c r="P224" s="151">
        <v>7.9</v>
      </c>
      <c r="Q224" s="151">
        <v>2370</v>
      </c>
      <c r="R224" s="151">
        <v>808</v>
      </c>
      <c r="S224" s="151">
        <v>2680</v>
      </c>
      <c r="T224" s="151">
        <v>1230</v>
      </c>
      <c r="U224" s="151">
        <v>0.85199999999999998</v>
      </c>
      <c r="V224" s="151">
        <v>12.4</v>
      </c>
      <c r="W224" s="151">
        <v>2.87</v>
      </c>
      <c r="X224" s="151">
        <v>378</v>
      </c>
      <c r="Y224" s="151">
        <v>201</v>
      </c>
    </row>
    <row r="225" spans="2:25">
      <c r="B225" s="48">
        <v>134</v>
      </c>
      <c r="C225" s="79" t="s">
        <v>167</v>
      </c>
      <c r="D225" s="151">
        <v>136.9</v>
      </c>
      <c r="E225" s="151">
        <v>320.5</v>
      </c>
      <c r="F225" s="151">
        <v>309.2</v>
      </c>
      <c r="G225" s="151">
        <v>13.8</v>
      </c>
      <c r="H225" s="151">
        <v>21.7</v>
      </c>
      <c r="I225" s="151">
        <v>15.2</v>
      </c>
      <c r="J225" s="151">
        <v>246.7</v>
      </c>
      <c r="K225" s="151">
        <v>7.12</v>
      </c>
      <c r="L225" s="151">
        <v>17.88</v>
      </c>
      <c r="M225" s="151">
        <v>32800</v>
      </c>
      <c r="N225" s="151">
        <v>10700</v>
      </c>
      <c r="O225" s="151">
        <v>13.7</v>
      </c>
      <c r="P225" s="151">
        <v>7.83</v>
      </c>
      <c r="Q225" s="151">
        <v>2050</v>
      </c>
      <c r="R225" s="151">
        <v>692</v>
      </c>
      <c r="S225" s="151">
        <v>2300</v>
      </c>
      <c r="T225" s="151">
        <v>1050</v>
      </c>
      <c r="U225" s="151">
        <v>0.85199999999999998</v>
      </c>
      <c r="V225" s="151">
        <v>14.1</v>
      </c>
      <c r="W225" s="151">
        <v>2.39</v>
      </c>
      <c r="X225" s="151">
        <v>249</v>
      </c>
      <c r="Y225" s="151">
        <v>174</v>
      </c>
    </row>
    <row r="226" spans="2:25">
      <c r="B226" s="48">
        <v>135</v>
      </c>
      <c r="C226" s="79" t="s">
        <v>168</v>
      </c>
      <c r="D226" s="151">
        <v>117.9</v>
      </c>
      <c r="E226" s="151">
        <v>314.5</v>
      </c>
      <c r="F226" s="151">
        <v>307.39999999999998</v>
      </c>
      <c r="G226" s="151">
        <v>12</v>
      </c>
      <c r="H226" s="151">
        <v>18.7</v>
      </c>
      <c r="I226" s="151">
        <v>15.2</v>
      </c>
      <c r="J226" s="151">
        <v>246.7</v>
      </c>
      <c r="K226" s="151">
        <v>8.2200000000000006</v>
      </c>
      <c r="L226" s="151">
        <v>20.56</v>
      </c>
      <c r="M226" s="151">
        <v>27700</v>
      </c>
      <c r="N226" s="151">
        <v>9060</v>
      </c>
      <c r="O226" s="151">
        <v>13.6</v>
      </c>
      <c r="P226" s="151">
        <v>7.77</v>
      </c>
      <c r="Q226" s="151">
        <v>1760</v>
      </c>
      <c r="R226" s="151">
        <v>589</v>
      </c>
      <c r="S226" s="151">
        <v>1960</v>
      </c>
      <c r="T226" s="151">
        <v>895</v>
      </c>
      <c r="U226" s="151">
        <v>0.85199999999999998</v>
      </c>
      <c r="V226" s="151">
        <v>16.100000000000001</v>
      </c>
      <c r="W226" s="151">
        <v>1.98</v>
      </c>
      <c r="X226" s="151">
        <v>161</v>
      </c>
      <c r="Y226" s="151">
        <v>150</v>
      </c>
    </row>
    <row r="227" spans="2:25">
      <c r="B227" s="48">
        <v>136</v>
      </c>
      <c r="C227" s="79" t="s">
        <v>169</v>
      </c>
      <c r="D227" s="151">
        <v>96.9</v>
      </c>
      <c r="E227" s="151">
        <v>307.89999999999998</v>
      </c>
      <c r="F227" s="151">
        <v>305.3</v>
      </c>
      <c r="G227" s="151">
        <v>9.9</v>
      </c>
      <c r="H227" s="151">
        <v>15.4</v>
      </c>
      <c r="I227" s="151">
        <v>15.2</v>
      </c>
      <c r="J227" s="151">
        <v>246.7</v>
      </c>
      <c r="K227" s="151">
        <v>9.91</v>
      </c>
      <c r="L227" s="151">
        <v>24.92</v>
      </c>
      <c r="M227" s="151">
        <v>22200</v>
      </c>
      <c r="N227" s="151">
        <v>7310</v>
      </c>
      <c r="O227" s="151">
        <v>13.4</v>
      </c>
      <c r="P227" s="151">
        <v>7.69</v>
      </c>
      <c r="Q227" s="151">
        <v>1450</v>
      </c>
      <c r="R227" s="151">
        <v>479</v>
      </c>
      <c r="S227" s="151">
        <v>1590</v>
      </c>
      <c r="T227" s="151">
        <v>726</v>
      </c>
      <c r="U227" s="151">
        <v>0.85099999999999998</v>
      </c>
      <c r="V227" s="151">
        <v>19.2</v>
      </c>
      <c r="W227" s="151">
        <v>1.56</v>
      </c>
      <c r="X227" s="151">
        <v>91.2</v>
      </c>
      <c r="Y227" s="151">
        <v>123</v>
      </c>
    </row>
    <row r="228" spans="2:25">
      <c r="B228" s="48">
        <v>137</v>
      </c>
      <c r="C228" s="79" t="s">
        <v>170</v>
      </c>
      <c r="D228" s="151">
        <v>167.1</v>
      </c>
      <c r="E228" s="151">
        <v>289.10000000000002</v>
      </c>
      <c r="F228" s="151">
        <v>265.2</v>
      </c>
      <c r="G228" s="151">
        <v>19.2</v>
      </c>
      <c r="H228" s="151">
        <v>31.7</v>
      </c>
      <c r="I228" s="151">
        <v>12.7</v>
      </c>
      <c r="J228" s="151">
        <v>200.3</v>
      </c>
      <c r="K228" s="151">
        <v>4.18</v>
      </c>
      <c r="L228" s="151">
        <v>10.43</v>
      </c>
      <c r="M228" s="151">
        <v>30000</v>
      </c>
      <c r="N228" s="151">
        <v>9870</v>
      </c>
      <c r="O228" s="151">
        <v>11.9</v>
      </c>
      <c r="P228" s="151">
        <v>6.81</v>
      </c>
      <c r="Q228" s="151">
        <v>2080</v>
      </c>
      <c r="R228" s="151">
        <v>744</v>
      </c>
      <c r="S228" s="151">
        <v>2420</v>
      </c>
      <c r="T228" s="151">
        <v>1140</v>
      </c>
      <c r="U228" s="151">
        <v>0.85099999999999998</v>
      </c>
      <c r="V228" s="151">
        <v>8.48</v>
      </c>
      <c r="W228" s="151">
        <v>1.63</v>
      </c>
      <c r="X228" s="151">
        <v>626</v>
      </c>
      <c r="Y228" s="151">
        <v>213</v>
      </c>
    </row>
    <row r="229" spans="2:25">
      <c r="B229" s="48">
        <v>138</v>
      </c>
      <c r="C229" s="79" t="s">
        <v>171</v>
      </c>
      <c r="D229" s="151">
        <v>132</v>
      </c>
      <c r="E229" s="151">
        <v>276.3</v>
      </c>
      <c r="F229" s="151">
        <v>261.3</v>
      </c>
      <c r="G229" s="151">
        <v>15.3</v>
      </c>
      <c r="H229" s="151">
        <v>25.3</v>
      </c>
      <c r="I229" s="151">
        <v>12.7</v>
      </c>
      <c r="J229" s="151">
        <v>200.3</v>
      </c>
      <c r="K229" s="151">
        <v>5.16</v>
      </c>
      <c r="L229" s="151">
        <v>13.09</v>
      </c>
      <c r="M229" s="151">
        <v>22500</v>
      </c>
      <c r="N229" s="151">
        <v>7530</v>
      </c>
      <c r="O229" s="151">
        <v>11.6</v>
      </c>
      <c r="P229" s="151">
        <v>6.69</v>
      </c>
      <c r="Q229" s="151">
        <v>1630</v>
      </c>
      <c r="R229" s="151">
        <v>576</v>
      </c>
      <c r="S229" s="151">
        <v>1870</v>
      </c>
      <c r="T229" s="151">
        <v>878</v>
      </c>
      <c r="U229" s="151">
        <v>0.85</v>
      </c>
      <c r="V229" s="151">
        <v>10.3</v>
      </c>
      <c r="W229" s="151">
        <v>1.19</v>
      </c>
      <c r="X229" s="151">
        <v>319</v>
      </c>
      <c r="Y229" s="151">
        <v>168</v>
      </c>
    </row>
    <row r="230" spans="2:25">
      <c r="B230" s="48">
        <v>139</v>
      </c>
      <c r="C230" s="79" t="s">
        <v>172</v>
      </c>
      <c r="D230" s="151">
        <v>107.1</v>
      </c>
      <c r="E230" s="151">
        <v>266.7</v>
      </c>
      <c r="F230" s="151">
        <v>258.8</v>
      </c>
      <c r="G230" s="151">
        <v>12.8</v>
      </c>
      <c r="H230" s="151">
        <v>20.5</v>
      </c>
      <c r="I230" s="151">
        <v>12.7</v>
      </c>
      <c r="J230" s="151">
        <v>200.3</v>
      </c>
      <c r="K230" s="151">
        <v>6.31</v>
      </c>
      <c r="L230" s="151">
        <v>15.65</v>
      </c>
      <c r="M230" s="151">
        <v>17500</v>
      </c>
      <c r="N230" s="151">
        <v>5930</v>
      </c>
      <c r="O230" s="151">
        <v>11.3</v>
      </c>
      <c r="P230" s="151">
        <v>6.59</v>
      </c>
      <c r="Q230" s="151">
        <v>1310</v>
      </c>
      <c r="R230" s="151">
        <v>458</v>
      </c>
      <c r="S230" s="151">
        <v>1480</v>
      </c>
      <c r="T230" s="151">
        <v>697</v>
      </c>
      <c r="U230" s="151">
        <v>0.84799999999999998</v>
      </c>
      <c r="V230" s="151">
        <v>12.4</v>
      </c>
      <c r="W230" s="151">
        <v>0.89800000000000002</v>
      </c>
      <c r="X230" s="151">
        <v>172</v>
      </c>
      <c r="Y230" s="151">
        <v>136</v>
      </c>
    </row>
    <row r="231" spans="2:25">
      <c r="B231" s="48">
        <v>140</v>
      </c>
      <c r="C231" s="79" t="s">
        <v>173</v>
      </c>
      <c r="D231" s="151">
        <v>88.9</v>
      </c>
      <c r="E231" s="151">
        <v>260.3</v>
      </c>
      <c r="F231" s="151">
        <v>256.3</v>
      </c>
      <c r="G231" s="151">
        <v>10.3</v>
      </c>
      <c r="H231" s="151">
        <v>17.3</v>
      </c>
      <c r="I231" s="151">
        <v>12.7</v>
      </c>
      <c r="J231" s="151">
        <v>200.3</v>
      </c>
      <c r="K231" s="151">
        <v>7.41</v>
      </c>
      <c r="L231" s="151">
        <v>19.45</v>
      </c>
      <c r="M231" s="151">
        <v>14300</v>
      </c>
      <c r="N231" s="151">
        <v>4860</v>
      </c>
      <c r="O231" s="151">
        <v>11.2</v>
      </c>
      <c r="P231" s="151">
        <v>6.55</v>
      </c>
      <c r="Q231" s="151">
        <v>1100</v>
      </c>
      <c r="R231" s="151">
        <v>379</v>
      </c>
      <c r="S231" s="151">
        <v>1220</v>
      </c>
      <c r="T231" s="151">
        <v>575</v>
      </c>
      <c r="U231" s="151">
        <v>0.85</v>
      </c>
      <c r="V231" s="151">
        <v>14.5</v>
      </c>
      <c r="W231" s="151">
        <v>0.71699999999999997</v>
      </c>
      <c r="X231" s="151">
        <v>102</v>
      </c>
      <c r="Y231" s="151">
        <v>113</v>
      </c>
    </row>
    <row r="232" spans="2:25">
      <c r="B232" s="48">
        <v>141</v>
      </c>
      <c r="C232" s="79" t="s">
        <v>174</v>
      </c>
      <c r="D232" s="151">
        <v>73.099999999999994</v>
      </c>
      <c r="E232" s="151">
        <v>254.1</v>
      </c>
      <c r="F232" s="151">
        <v>254.6</v>
      </c>
      <c r="G232" s="151">
        <v>8.6</v>
      </c>
      <c r="H232" s="151">
        <v>14.2</v>
      </c>
      <c r="I232" s="151">
        <v>12.7</v>
      </c>
      <c r="J232" s="151">
        <v>200.3</v>
      </c>
      <c r="K232" s="151">
        <v>8.9600000000000009</v>
      </c>
      <c r="L232" s="151">
        <v>23.29</v>
      </c>
      <c r="M232" s="151">
        <v>11400</v>
      </c>
      <c r="N232" s="151">
        <v>3910</v>
      </c>
      <c r="O232" s="151">
        <v>11.1</v>
      </c>
      <c r="P232" s="151">
        <v>6.48</v>
      </c>
      <c r="Q232" s="151">
        <v>898</v>
      </c>
      <c r="R232" s="151">
        <v>307</v>
      </c>
      <c r="S232" s="151">
        <v>992</v>
      </c>
      <c r="T232" s="151">
        <v>465</v>
      </c>
      <c r="U232" s="151">
        <v>0.84899999999999998</v>
      </c>
      <c r="V232" s="151">
        <v>17.2</v>
      </c>
      <c r="W232" s="151">
        <v>0.56200000000000006</v>
      </c>
      <c r="X232" s="151">
        <v>57.6</v>
      </c>
      <c r="Y232" s="151">
        <v>93.1</v>
      </c>
    </row>
    <row r="233" spans="2:25">
      <c r="B233" s="48">
        <v>142</v>
      </c>
      <c r="C233" s="79" t="s">
        <v>175</v>
      </c>
      <c r="D233" s="151">
        <v>127.5</v>
      </c>
      <c r="E233" s="151">
        <v>241.4</v>
      </c>
      <c r="F233" s="151">
        <v>213.9</v>
      </c>
      <c r="G233" s="151">
        <v>18.100000000000001</v>
      </c>
      <c r="H233" s="151">
        <v>30.1</v>
      </c>
      <c r="I233" s="151">
        <v>10.199999999999999</v>
      </c>
      <c r="J233" s="151">
        <v>160.80000000000001</v>
      </c>
      <c r="K233" s="151">
        <v>3.55</v>
      </c>
      <c r="L233" s="151">
        <v>8.8800000000000008</v>
      </c>
      <c r="M233" s="151">
        <v>15400</v>
      </c>
      <c r="N233" s="151">
        <v>4920</v>
      </c>
      <c r="O233" s="151">
        <v>9.75</v>
      </c>
      <c r="P233" s="151">
        <v>5.5</v>
      </c>
      <c r="Q233" s="151">
        <v>1280</v>
      </c>
      <c r="R233" s="151">
        <v>460</v>
      </c>
      <c r="S233" s="151">
        <v>1520</v>
      </c>
      <c r="T233" s="151">
        <v>704</v>
      </c>
      <c r="U233" s="151">
        <v>0.85599999999999998</v>
      </c>
      <c r="V233" s="151">
        <v>7.36</v>
      </c>
      <c r="W233" s="151">
        <v>0.54900000000000004</v>
      </c>
      <c r="X233" s="151">
        <v>427</v>
      </c>
      <c r="Y233" s="151">
        <v>162</v>
      </c>
    </row>
    <row r="234" spans="2:25">
      <c r="B234" s="48">
        <v>143</v>
      </c>
      <c r="C234" s="79" t="s">
        <v>176</v>
      </c>
      <c r="D234" s="151">
        <v>113.5</v>
      </c>
      <c r="E234" s="151">
        <v>235</v>
      </c>
      <c r="F234" s="151">
        <v>212.1</v>
      </c>
      <c r="G234" s="151">
        <v>16.3</v>
      </c>
      <c r="H234" s="151">
        <v>26.9</v>
      </c>
      <c r="I234" s="151">
        <v>10.199999999999999</v>
      </c>
      <c r="J234" s="151">
        <v>160.80000000000001</v>
      </c>
      <c r="K234" s="151">
        <v>3.94</v>
      </c>
      <c r="L234" s="151">
        <v>9.8699999999999992</v>
      </c>
      <c r="M234" s="151">
        <v>13300</v>
      </c>
      <c r="N234" s="151">
        <v>4290</v>
      </c>
      <c r="O234" s="151">
        <v>9.59</v>
      </c>
      <c r="P234" s="151">
        <v>5.45</v>
      </c>
      <c r="Q234" s="151">
        <v>1130</v>
      </c>
      <c r="R234" s="151">
        <v>404</v>
      </c>
      <c r="S234" s="151">
        <v>1330</v>
      </c>
      <c r="T234" s="151">
        <v>618</v>
      </c>
      <c r="U234" s="151">
        <v>0.85199999999999998</v>
      </c>
      <c r="V234" s="151">
        <v>8.11</v>
      </c>
      <c r="W234" s="151">
        <v>0.46400000000000002</v>
      </c>
      <c r="X234" s="151">
        <v>305</v>
      </c>
      <c r="Y234" s="151">
        <v>145</v>
      </c>
    </row>
    <row r="235" spans="2:25">
      <c r="B235" s="48">
        <v>144</v>
      </c>
      <c r="C235" s="79" t="s">
        <v>177</v>
      </c>
      <c r="D235" s="151">
        <v>99.6</v>
      </c>
      <c r="E235" s="151">
        <v>228.6</v>
      </c>
      <c r="F235" s="151">
        <v>210.3</v>
      </c>
      <c r="G235" s="151">
        <v>14.5</v>
      </c>
      <c r="H235" s="151">
        <v>23.7</v>
      </c>
      <c r="I235" s="151">
        <v>10.199999999999999</v>
      </c>
      <c r="J235" s="151">
        <v>160.80000000000001</v>
      </c>
      <c r="K235" s="151">
        <v>4.4400000000000004</v>
      </c>
      <c r="L235" s="151">
        <v>11.09</v>
      </c>
      <c r="M235" s="151">
        <v>11300</v>
      </c>
      <c r="N235" s="151">
        <v>3680</v>
      </c>
      <c r="O235" s="151">
        <v>9.44</v>
      </c>
      <c r="P235" s="151">
        <v>5.39</v>
      </c>
      <c r="Q235" s="151">
        <v>988</v>
      </c>
      <c r="R235" s="151">
        <v>350</v>
      </c>
      <c r="S235" s="151">
        <v>1150</v>
      </c>
      <c r="T235" s="151">
        <v>534</v>
      </c>
      <c r="U235" s="151">
        <v>0.85199999999999998</v>
      </c>
      <c r="V235" s="151">
        <v>9.01</v>
      </c>
      <c r="W235" s="151">
        <v>0.38600000000000001</v>
      </c>
      <c r="X235" s="151">
        <v>210</v>
      </c>
      <c r="Y235" s="151">
        <v>127</v>
      </c>
    </row>
    <row r="236" spans="2:25">
      <c r="B236" s="48">
        <v>145</v>
      </c>
      <c r="C236" s="79" t="s">
        <v>178</v>
      </c>
      <c r="D236" s="151">
        <v>86.1</v>
      </c>
      <c r="E236" s="151">
        <v>222.2</v>
      </c>
      <c r="F236" s="151">
        <v>209.1</v>
      </c>
      <c r="G236" s="151">
        <v>12.7</v>
      </c>
      <c r="H236" s="151">
        <v>20.5</v>
      </c>
      <c r="I236" s="151">
        <v>10.199999999999999</v>
      </c>
      <c r="J236" s="151">
        <v>160.80000000000001</v>
      </c>
      <c r="K236" s="151">
        <v>5.0999999999999996</v>
      </c>
      <c r="L236" s="151">
        <v>12.66</v>
      </c>
      <c r="M236" s="151">
        <v>9450</v>
      </c>
      <c r="N236" s="151">
        <v>3130</v>
      </c>
      <c r="O236" s="151">
        <v>9.2799999999999994</v>
      </c>
      <c r="P236" s="151">
        <v>5.34</v>
      </c>
      <c r="Q236" s="151">
        <v>850</v>
      </c>
      <c r="R236" s="151">
        <v>299</v>
      </c>
      <c r="S236" s="151">
        <v>977</v>
      </c>
      <c r="T236" s="151">
        <v>456</v>
      </c>
      <c r="U236" s="151">
        <v>0.84899999999999998</v>
      </c>
      <c r="V236" s="151">
        <v>10.199999999999999</v>
      </c>
      <c r="W236" s="151">
        <v>0.318</v>
      </c>
      <c r="X236" s="151">
        <v>137</v>
      </c>
      <c r="Y236" s="151">
        <v>110</v>
      </c>
    </row>
    <row r="237" spans="2:25">
      <c r="B237" s="48">
        <v>146</v>
      </c>
      <c r="C237" s="79" t="s">
        <v>179</v>
      </c>
      <c r="D237" s="151">
        <v>71</v>
      </c>
      <c r="E237" s="151">
        <v>215.8</v>
      </c>
      <c r="F237" s="151">
        <v>206.4</v>
      </c>
      <c r="G237" s="151">
        <v>10</v>
      </c>
      <c r="H237" s="151">
        <v>17.3</v>
      </c>
      <c r="I237" s="151">
        <v>10.199999999999999</v>
      </c>
      <c r="J237" s="151">
        <v>160.80000000000001</v>
      </c>
      <c r="K237" s="151">
        <v>5.97</v>
      </c>
      <c r="L237" s="151">
        <v>16.079999999999998</v>
      </c>
      <c r="M237" s="151">
        <v>7620</v>
      </c>
      <c r="N237" s="151">
        <v>2540</v>
      </c>
      <c r="O237" s="151">
        <v>9.18</v>
      </c>
      <c r="P237" s="151">
        <v>5.3</v>
      </c>
      <c r="Q237" s="151">
        <v>706</v>
      </c>
      <c r="R237" s="151">
        <v>246</v>
      </c>
      <c r="S237" s="151">
        <v>799</v>
      </c>
      <c r="T237" s="151">
        <v>374</v>
      </c>
      <c r="U237" s="151">
        <v>0.85299999999999998</v>
      </c>
      <c r="V237" s="151">
        <v>11.9</v>
      </c>
      <c r="W237" s="151">
        <v>0.25</v>
      </c>
      <c r="X237" s="151">
        <v>80.2</v>
      </c>
      <c r="Y237" s="151">
        <v>90.4</v>
      </c>
    </row>
    <row r="238" spans="2:25">
      <c r="B238" s="48">
        <v>147</v>
      </c>
      <c r="C238" s="79" t="s">
        <v>180</v>
      </c>
      <c r="D238" s="151">
        <v>60</v>
      </c>
      <c r="E238" s="151">
        <v>209.6</v>
      </c>
      <c r="F238" s="151">
        <v>205.8</v>
      </c>
      <c r="G238" s="151">
        <v>9.4</v>
      </c>
      <c r="H238" s="151">
        <v>14.2</v>
      </c>
      <c r="I238" s="151">
        <v>10.199999999999999</v>
      </c>
      <c r="J238" s="151">
        <v>160.80000000000001</v>
      </c>
      <c r="K238" s="151">
        <v>7.25</v>
      </c>
      <c r="L238" s="151">
        <v>17.11</v>
      </c>
      <c r="M238" s="151">
        <v>6120</v>
      </c>
      <c r="N238" s="151">
        <v>2060</v>
      </c>
      <c r="O238" s="151">
        <v>8.9600000000000009</v>
      </c>
      <c r="P238" s="151">
        <v>5.2</v>
      </c>
      <c r="Q238" s="151">
        <v>584</v>
      </c>
      <c r="R238" s="151">
        <v>201</v>
      </c>
      <c r="S238" s="151">
        <v>656</v>
      </c>
      <c r="T238" s="151">
        <v>305</v>
      </c>
      <c r="U238" s="151">
        <v>0.84599999999999997</v>
      </c>
      <c r="V238" s="151">
        <v>14.1</v>
      </c>
      <c r="W238" s="151">
        <v>0.19700000000000001</v>
      </c>
      <c r="X238" s="151">
        <v>47.2</v>
      </c>
      <c r="Y238" s="151">
        <v>76.400000000000006</v>
      </c>
    </row>
    <row r="239" spans="2:25">
      <c r="B239" s="48">
        <v>148</v>
      </c>
      <c r="C239" s="79" t="s">
        <v>181</v>
      </c>
      <c r="D239" s="151">
        <v>52</v>
      </c>
      <c r="E239" s="151">
        <v>206.2</v>
      </c>
      <c r="F239" s="151">
        <v>204.3</v>
      </c>
      <c r="G239" s="151">
        <v>7.9</v>
      </c>
      <c r="H239" s="151">
        <v>12.5</v>
      </c>
      <c r="I239" s="151">
        <v>10.199999999999999</v>
      </c>
      <c r="J239" s="151">
        <v>160.80000000000001</v>
      </c>
      <c r="K239" s="151">
        <v>8.17</v>
      </c>
      <c r="L239" s="151">
        <v>20.350000000000001</v>
      </c>
      <c r="M239" s="151">
        <v>5260</v>
      </c>
      <c r="N239" s="151">
        <v>1780</v>
      </c>
      <c r="O239" s="151">
        <v>8.91</v>
      </c>
      <c r="P239" s="151">
        <v>5.18</v>
      </c>
      <c r="Q239" s="151">
        <v>510</v>
      </c>
      <c r="R239" s="151">
        <v>174</v>
      </c>
      <c r="S239" s="151">
        <v>567</v>
      </c>
      <c r="T239" s="151">
        <v>264</v>
      </c>
      <c r="U239" s="151">
        <v>0.84699999999999998</v>
      </c>
      <c r="V239" s="151">
        <v>15.8</v>
      </c>
      <c r="W239" s="151">
        <v>0.16700000000000001</v>
      </c>
      <c r="X239" s="151">
        <v>31.8</v>
      </c>
      <c r="Y239" s="151">
        <v>66.3</v>
      </c>
    </row>
    <row r="240" spans="2:25">
      <c r="B240" s="48">
        <v>149</v>
      </c>
      <c r="C240" s="79" t="s">
        <v>182</v>
      </c>
      <c r="D240" s="151">
        <v>46.1</v>
      </c>
      <c r="E240" s="151">
        <v>203.2</v>
      </c>
      <c r="F240" s="151">
        <v>203.6</v>
      </c>
      <c r="G240" s="151">
        <v>7.2</v>
      </c>
      <c r="H240" s="151">
        <v>11</v>
      </c>
      <c r="I240" s="151">
        <v>10.199999999999999</v>
      </c>
      <c r="J240" s="151">
        <v>160.80000000000001</v>
      </c>
      <c r="K240" s="151">
        <v>9.25</v>
      </c>
      <c r="L240" s="151">
        <v>22.33</v>
      </c>
      <c r="M240" s="151">
        <v>4570</v>
      </c>
      <c r="N240" s="151">
        <v>1550</v>
      </c>
      <c r="O240" s="151">
        <v>8.82</v>
      </c>
      <c r="P240" s="151">
        <v>5.13</v>
      </c>
      <c r="Q240" s="151">
        <v>450</v>
      </c>
      <c r="R240" s="151">
        <v>152</v>
      </c>
      <c r="S240" s="151">
        <v>497</v>
      </c>
      <c r="T240" s="151">
        <v>231</v>
      </c>
      <c r="U240" s="151">
        <v>0.84699999999999998</v>
      </c>
      <c r="V240" s="151">
        <v>17.7</v>
      </c>
      <c r="W240" s="151">
        <v>0.14299999999999999</v>
      </c>
      <c r="X240" s="151">
        <v>22.2</v>
      </c>
      <c r="Y240" s="151">
        <v>58.7</v>
      </c>
    </row>
    <row r="241" spans="1:25">
      <c r="B241" s="48">
        <v>150</v>
      </c>
      <c r="C241" s="79" t="s">
        <v>324</v>
      </c>
      <c r="D241" s="151">
        <v>51.2</v>
      </c>
      <c r="E241" s="151">
        <v>170.2</v>
      </c>
      <c r="F241" s="151">
        <v>157.4</v>
      </c>
      <c r="G241" s="151">
        <v>11</v>
      </c>
      <c r="H241" s="151">
        <v>15.7</v>
      </c>
      <c r="I241" s="151">
        <v>7.6</v>
      </c>
      <c r="J241" s="151">
        <v>123.6</v>
      </c>
      <c r="K241" s="151">
        <v>5.01</v>
      </c>
      <c r="L241" s="151">
        <v>11.24</v>
      </c>
      <c r="M241" s="151">
        <v>3230</v>
      </c>
      <c r="N241" s="151">
        <v>1020</v>
      </c>
      <c r="O241" s="151">
        <v>7.04</v>
      </c>
      <c r="P241" s="151">
        <v>3.96</v>
      </c>
      <c r="Q241" s="151">
        <v>379</v>
      </c>
      <c r="R241" s="151">
        <v>130</v>
      </c>
      <c r="S241" s="151">
        <v>438</v>
      </c>
      <c r="T241" s="151">
        <v>199</v>
      </c>
      <c r="U241" s="151">
        <v>0.84799999999999998</v>
      </c>
      <c r="V241" s="151">
        <v>10.1</v>
      </c>
      <c r="W241" s="151">
        <v>6.0999999999999999E-2</v>
      </c>
      <c r="X241" s="151">
        <v>48.8</v>
      </c>
      <c r="Y241" s="151">
        <v>65.2</v>
      </c>
    </row>
    <row r="242" spans="1:25">
      <c r="B242" s="48">
        <v>151</v>
      </c>
      <c r="C242" s="79" t="s">
        <v>325</v>
      </c>
      <c r="D242" s="151">
        <v>44</v>
      </c>
      <c r="E242" s="151">
        <v>166</v>
      </c>
      <c r="F242" s="151">
        <v>155.9</v>
      </c>
      <c r="G242" s="151">
        <v>9.5</v>
      </c>
      <c r="H242" s="151">
        <v>13.6</v>
      </c>
      <c r="I242" s="151">
        <v>7.6</v>
      </c>
      <c r="J242" s="151">
        <v>123.6</v>
      </c>
      <c r="K242" s="151">
        <v>5.73</v>
      </c>
      <c r="L242" s="151">
        <v>13.01</v>
      </c>
      <c r="M242" s="151">
        <v>2700</v>
      </c>
      <c r="N242" s="151">
        <v>860</v>
      </c>
      <c r="O242" s="151">
        <v>6.94</v>
      </c>
      <c r="P242" s="151">
        <v>3.92</v>
      </c>
      <c r="Q242" s="151">
        <v>326</v>
      </c>
      <c r="R242" s="151">
        <v>110</v>
      </c>
      <c r="S242" s="151">
        <v>372</v>
      </c>
      <c r="T242" s="151">
        <v>169</v>
      </c>
      <c r="U242" s="151">
        <v>0.84699999999999998</v>
      </c>
      <c r="V242" s="151">
        <v>11.5</v>
      </c>
      <c r="W242" s="151">
        <v>0.05</v>
      </c>
      <c r="X242" s="151">
        <v>31.7</v>
      </c>
      <c r="Y242" s="151">
        <v>56.1</v>
      </c>
    </row>
    <row r="243" spans="1:25">
      <c r="B243" s="48">
        <v>152</v>
      </c>
      <c r="C243" s="79" t="s">
        <v>183</v>
      </c>
      <c r="D243" s="151">
        <v>37</v>
      </c>
      <c r="E243" s="151">
        <v>161.80000000000001</v>
      </c>
      <c r="F243" s="151">
        <v>154.4</v>
      </c>
      <c r="G243" s="151">
        <v>8</v>
      </c>
      <c r="H243" s="151">
        <v>11.5</v>
      </c>
      <c r="I243" s="151">
        <v>7.6</v>
      </c>
      <c r="J243" s="151">
        <v>123.6</v>
      </c>
      <c r="K243" s="151">
        <v>6.71</v>
      </c>
      <c r="L243" s="151">
        <v>15.45</v>
      </c>
      <c r="M243" s="151">
        <v>2210</v>
      </c>
      <c r="N243" s="151">
        <v>706</v>
      </c>
      <c r="O243" s="151">
        <v>6.85</v>
      </c>
      <c r="P243" s="151">
        <v>3.87</v>
      </c>
      <c r="Q243" s="151">
        <v>273</v>
      </c>
      <c r="R243" s="151">
        <v>91.5</v>
      </c>
      <c r="S243" s="151">
        <v>309</v>
      </c>
      <c r="T243" s="151">
        <v>140</v>
      </c>
      <c r="U243" s="151">
        <v>0.84799999999999998</v>
      </c>
      <c r="V243" s="151">
        <v>13.3</v>
      </c>
      <c r="W243" s="151">
        <v>0.04</v>
      </c>
      <c r="X243" s="151">
        <v>19.2</v>
      </c>
      <c r="Y243" s="151">
        <v>47.1</v>
      </c>
    </row>
    <row r="244" spans="1:25">
      <c r="B244" s="48">
        <v>153</v>
      </c>
      <c r="C244" s="79" t="s">
        <v>184</v>
      </c>
      <c r="D244" s="151">
        <v>30</v>
      </c>
      <c r="E244" s="151">
        <v>157.6</v>
      </c>
      <c r="F244" s="151">
        <v>152.9</v>
      </c>
      <c r="G244" s="151">
        <v>6.5</v>
      </c>
      <c r="H244" s="151">
        <v>9.4</v>
      </c>
      <c r="I244" s="151">
        <v>7.6</v>
      </c>
      <c r="J244" s="151">
        <v>123.6</v>
      </c>
      <c r="K244" s="151">
        <v>8.1300000000000008</v>
      </c>
      <c r="L244" s="151">
        <v>19.02</v>
      </c>
      <c r="M244" s="151">
        <v>1750</v>
      </c>
      <c r="N244" s="151">
        <v>560</v>
      </c>
      <c r="O244" s="151">
        <v>6.76</v>
      </c>
      <c r="P244" s="151">
        <v>3.83</v>
      </c>
      <c r="Q244" s="151">
        <v>222</v>
      </c>
      <c r="R244" s="151">
        <v>73.3</v>
      </c>
      <c r="S244" s="151">
        <v>248</v>
      </c>
      <c r="T244" s="151">
        <v>112</v>
      </c>
      <c r="U244" s="151">
        <v>0.84699999999999998</v>
      </c>
      <c r="V244" s="151">
        <v>16.100000000000001</v>
      </c>
      <c r="W244" s="151">
        <v>3.1E-2</v>
      </c>
      <c r="X244" s="151">
        <v>10.5</v>
      </c>
      <c r="Y244" s="151">
        <v>38.299999999999997</v>
      </c>
    </row>
    <row r="245" spans="1:25">
      <c r="B245" s="48">
        <v>154</v>
      </c>
      <c r="C245" s="79" t="s">
        <v>185</v>
      </c>
      <c r="D245" s="151">
        <v>23</v>
      </c>
      <c r="E245" s="151">
        <v>152.4</v>
      </c>
      <c r="F245" s="151">
        <v>152.19999999999999</v>
      </c>
      <c r="G245" s="151">
        <v>5.8</v>
      </c>
      <c r="H245" s="151">
        <v>6.8</v>
      </c>
      <c r="I245" s="151">
        <v>7.6</v>
      </c>
      <c r="J245" s="151">
        <v>123.6</v>
      </c>
      <c r="K245" s="151">
        <v>11.19</v>
      </c>
      <c r="L245" s="151">
        <v>21.31</v>
      </c>
      <c r="M245" s="151">
        <v>1250</v>
      </c>
      <c r="N245" s="151">
        <v>400</v>
      </c>
      <c r="O245" s="151">
        <v>6.54</v>
      </c>
      <c r="P245" s="151">
        <v>3.7</v>
      </c>
      <c r="Q245" s="151">
        <v>164</v>
      </c>
      <c r="R245" s="151">
        <v>52.6</v>
      </c>
      <c r="S245" s="151">
        <v>182</v>
      </c>
      <c r="T245" s="151">
        <v>80.099999999999994</v>
      </c>
      <c r="U245" s="151">
        <v>0.84199999999999997</v>
      </c>
      <c r="V245" s="151">
        <v>20.6</v>
      </c>
      <c r="W245" s="151">
        <v>2.1000000000000001E-2</v>
      </c>
      <c r="X245" s="151">
        <v>4.63</v>
      </c>
      <c r="Y245" s="151">
        <v>29.2</v>
      </c>
    </row>
    <row r="246" spans="1:25">
      <c r="B246" s="48">
        <v>155</v>
      </c>
      <c r="C246" s="79"/>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row>
    <row r="247" spans="1:25">
      <c r="A247" s="108" t="s">
        <v>205</v>
      </c>
      <c r="B247" s="48">
        <v>156</v>
      </c>
      <c r="C247" s="79" t="s">
        <v>186</v>
      </c>
      <c r="D247" s="151">
        <v>64.400000000000006</v>
      </c>
      <c r="E247" s="151">
        <v>430</v>
      </c>
      <c r="F247" s="151">
        <v>100</v>
      </c>
      <c r="G247" s="151">
        <v>11</v>
      </c>
      <c r="H247" s="151">
        <v>19</v>
      </c>
      <c r="I247" s="151">
        <v>15</v>
      </c>
      <c r="J247" s="151">
        <v>362</v>
      </c>
      <c r="K247" s="151">
        <v>5.26</v>
      </c>
      <c r="L247" s="151">
        <v>32.9</v>
      </c>
      <c r="M247" s="151">
        <v>21940</v>
      </c>
      <c r="N247" s="151">
        <v>722</v>
      </c>
      <c r="O247" s="151">
        <v>16.3</v>
      </c>
      <c r="P247" s="151">
        <v>2.97</v>
      </c>
      <c r="Q247" s="151">
        <v>1020</v>
      </c>
      <c r="R247" s="151">
        <v>97.9</v>
      </c>
      <c r="S247" s="151">
        <v>1222</v>
      </c>
      <c r="T247" s="151">
        <v>176</v>
      </c>
      <c r="U247" s="151">
        <v>0.91700000000000004</v>
      </c>
      <c r="V247" s="151">
        <v>22.5</v>
      </c>
      <c r="W247" s="151">
        <v>0.219</v>
      </c>
      <c r="X247" s="151">
        <v>63</v>
      </c>
      <c r="Y247" s="151">
        <v>82.1</v>
      </c>
    </row>
    <row r="248" spans="1:25">
      <c r="B248" s="48">
        <v>157</v>
      </c>
      <c r="C248" s="79" t="s">
        <v>187</v>
      </c>
      <c r="D248" s="151">
        <v>54</v>
      </c>
      <c r="E248" s="151">
        <v>380</v>
      </c>
      <c r="F248" s="151">
        <v>100</v>
      </c>
      <c r="G248" s="151">
        <v>9.5</v>
      </c>
      <c r="H248" s="151">
        <v>17.5</v>
      </c>
      <c r="I248" s="151">
        <v>15</v>
      </c>
      <c r="J248" s="151">
        <v>315</v>
      </c>
      <c r="K248" s="151">
        <v>5.71</v>
      </c>
      <c r="L248" s="151">
        <v>33.200000000000003</v>
      </c>
      <c r="M248" s="151">
        <v>15030</v>
      </c>
      <c r="N248" s="151">
        <v>643</v>
      </c>
      <c r="O248" s="151">
        <v>14.8</v>
      </c>
      <c r="P248" s="151">
        <v>3.06</v>
      </c>
      <c r="Q248" s="151">
        <v>791</v>
      </c>
      <c r="R248" s="151">
        <v>89.2</v>
      </c>
      <c r="S248" s="151">
        <v>933</v>
      </c>
      <c r="T248" s="151">
        <v>161</v>
      </c>
      <c r="U248" s="151">
        <v>0.93200000000000005</v>
      </c>
      <c r="V248" s="151">
        <v>21.2</v>
      </c>
      <c r="W248" s="151">
        <v>0.15</v>
      </c>
      <c r="X248" s="151">
        <v>45.7</v>
      </c>
      <c r="Y248" s="151">
        <v>68.7</v>
      </c>
    </row>
    <row r="249" spans="1:25">
      <c r="B249" s="48">
        <v>158</v>
      </c>
      <c r="C249" s="79" t="s">
        <v>188</v>
      </c>
      <c r="D249" s="151">
        <v>45.5</v>
      </c>
      <c r="E249" s="151">
        <v>300</v>
      </c>
      <c r="F249" s="151">
        <v>100</v>
      </c>
      <c r="G249" s="151">
        <v>9</v>
      </c>
      <c r="H249" s="151">
        <v>16.5</v>
      </c>
      <c r="I249" s="151">
        <v>15</v>
      </c>
      <c r="J249" s="151">
        <v>237</v>
      </c>
      <c r="K249" s="151">
        <v>6.06</v>
      </c>
      <c r="L249" s="151">
        <v>26.3</v>
      </c>
      <c r="M249" s="151">
        <v>8229</v>
      </c>
      <c r="N249" s="151">
        <v>568</v>
      </c>
      <c r="O249" s="151">
        <v>11.9</v>
      </c>
      <c r="P249" s="151">
        <v>3.13</v>
      </c>
      <c r="Q249" s="151">
        <v>549</v>
      </c>
      <c r="R249" s="151">
        <v>81.7</v>
      </c>
      <c r="S249" s="151">
        <v>641</v>
      </c>
      <c r="T249" s="151">
        <v>148</v>
      </c>
      <c r="U249" s="151">
        <v>0.94399999999999995</v>
      </c>
      <c r="V249" s="151">
        <v>17</v>
      </c>
      <c r="W249" s="151">
        <v>8.1000000000000003E-2</v>
      </c>
      <c r="X249" s="151">
        <v>36.799999999999997</v>
      </c>
      <c r="Y249" s="151">
        <v>58</v>
      </c>
    </row>
    <row r="250" spans="1:25">
      <c r="B250" s="48">
        <v>159</v>
      </c>
      <c r="C250" s="79" t="s">
        <v>189</v>
      </c>
      <c r="D250" s="151">
        <v>41.4</v>
      </c>
      <c r="E250" s="151">
        <v>300</v>
      </c>
      <c r="F250" s="151">
        <v>90</v>
      </c>
      <c r="G250" s="151">
        <v>9</v>
      </c>
      <c r="H250" s="151">
        <v>15.5</v>
      </c>
      <c r="I250" s="151">
        <v>12</v>
      </c>
      <c r="J250" s="151">
        <v>245</v>
      </c>
      <c r="K250" s="151">
        <v>5.81</v>
      </c>
      <c r="L250" s="151">
        <v>27.2</v>
      </c>
      <c r="M250" s="151">
        <v>7218</v>
      </c>
      <c r="N250" s="151">
        <v>404</v>
      </c>
      <c r="O250" s="151">
        <v>11.7</v>
      </c>
      <c r="P250" s="151">
        <v>2.77</v>
      </c>
      <c r="Q250" s="151">
        <v>481</v>
      </c>
      <c r="R250" s="151">
        <v>63.1</v>
      </c>
      <c r="S250" s="151">
        <v>568</v>
      </c>
      <c r="T250" s="151">
        <v>114</v>
      </c>
      <c r="U250" s="151">
        <v>0.93400000000000005</v>
      </c>
      <c r="V250" s="151">
        <v>18.399999999999999</v>
      </c>
      <c r="W250" s="151">
        <v>5.8000000000000003E-2</v>
      </c>
      <c r="X250" s="151">
        <v>28.8</v>
      </c>
      <c r="Y250" s="151">
        <v>52.7</v>
      </c>
    </row>
    <row r="251" spans="1:25">
      <c r="B251" s="48">
        <v>160</v>
      </c>
      <c r="C251" s="79" t="s">
        <v>190</v>
      </c>
      <c r="D251" s="151">
        <v>34.799999999999997</v>
      </c>
      <c r="E251" s="151">
        <v>260</v>
      </c>
      <c r="F251" s="151">
        <v>90</v>
      </c>
      <c r="G251" s="151">
        <v>8</v>
      </c>
      <c r="H251" s="151">
        <v>14</v>
      </c>
      <c r="I251" s="151">
        <v>12</v>
      </c>
      <c r="J251" s="151">
        <v>208</v>
      </c>
      <c r="K251" s="151">
        <v>6.43</v>
      </c>
      <c r="L251" s="151">
        <v>26</v>
      </c>
      <c r="M251" s="151">
        <v>4728</v>
      </c>
      <c r="N251" s="151">
        <v>353</v>
      </c>
      <c r="O251" s="151">
        <v>10.3</v>
      </c>
      <c r="P251" s="151">
        <v>2.82</v>
      </c>
      <c r="Q251" s="151">
        <v>364</v>
      </c>
      <c r="R251" s="151">
        <v>56.3</v>
      </c>
      <c r="S251" s="151">
        <v>425</v>
      </c>
      <c r="T251" s="151">
        <v>102</v>
      </c>
      <c r="U251" s="151">
        <v>0.94199999999999995</v>
      </c>
      <c r="V251" s="151">
        <v>17.2</v>
      </c>
      <c r="W251" s="151">
        <v>3.7999999999999999E-2</v>
      </c>
      <c r="X251" s="151">
        <v>20.6</v>
      </c>
      <c r="Y251" s="151">
        <v>44.4</v>
      </c>
    </row>
    <row r="252" spans="1:25">
      <c r="B252" s="48">
        <v>161</v>
      </c>
      <c r="C252" s="79" t="s">
        <v>191</v>
      </c>
      <c r="D252" s="151">
        <v>27.6</v>
      </c>
      <c r="E252" s="151">
        <v>260</v>
      </c>
      <c r="F252" s="151">
        <v>75</v>
      </c>
      <c r="G252" s="151">
        <v>7</v>
      </c>
      <c r="H252" s="151">
        <v>12</v>
      </c>
      <c r="I252" s="151">
        <v>12</v>
      </c>
      <c r="J252" s="151">
        <v>212</v>
      </c>
      <c r="K252" s="151">
        <v>6.25</v>
      </c>
      <c r="L252" s="151">
        <v>30.3</v>
      </c>
      <c r="M252" s="151">
        <v>3619</v>
      </c>
      <c r="N252" s="151">
        <v>185</v>
      </c>
      <c r="O252" s="151">
        <v>10.1</v>
      </c>
      <c r="P252" s="151">
        <v>2.2999999999999998</v>
      </c>
      <c r="Q252" s="151">
        <v>278</v>
      </c>
      <c r="R252" s="151">
        <v>34.4</v>
      </c>
      <c r="S252" s="151">
        <v>328</v>
      </c>
      <c r="T252" s="151">
        <v>62</v>
      </c>
      <c r="U252" s="151">
        <v>0.93200000000000005</v>
      </c>
      <c r="V252" s="151">
        <v>20.5</v>
      </c>
      <c r="W252" s="151">
        <v>0.02</v>
      </c>
      <c r="X252" s="151">
        <v>11.7</v>
      </c>
      <c r="Y252" s="151">
        <v>35.1</v>
      </c>
    </row>
    <row r="253" spans="1:25">
      <c r="B253" s="48">
        <v>162</v>
      </c>
      <c r="C253" s="79" t="s">
        <v>192</v>
      </c>
      <c r="D253" s="151">
        <v>32.200000000000003</v>
      </c>
      <c r="E253" s="151">
        <v>230</v>
      </c>
      <c r="F253" s="151">
        <v>90</v>
      </c>
      <c r="G253" s="151">
        <v>7.5</v>
      </c>
      <c r="H253" s="151">
        <v>14</v>
      </c>
      <c r="I253" s="151">
        <v>12</v>
      </c>
      <c r="J253" s="151">
        <v>178</v>
      </c>
      <c r="K253" s="151">
        <v>6.43</v>
      </c>
      <c r="L253" s="151">
        <v>23.7</v>
      </c>
      <c r="M253" s="151">
        <v>3518</v>
      </c>
      <c r="N253" s="151">
        <v>334</v>
      </c>
      <c r="O253" s="151">
        <v>9.27</v>
      </c>
      <c r="P253" s="151">
        <v>2.86</v>
      </c>
      <c r="Q253" s="151">
        <v>306</v>
      </c>
      <c r="R253" s="151">
        <v>55</v>
      </c>
      <c r="S253" s="151">
        <v>355</v>
      </c>
      <c r="T253" s="151">
        <v>98.9</v>
      </c>
      <c r="U253" s="151">
        <v>0.95</v>
      </c>
      <c r="V253" s="151">
        <v>15.1</v>
      </c>
      <c r="W253" s="151">
        <v>2.8000000000000001E-2</v>
      </c>
      <c r="X253" s="151">
        <v>19.3</v>
      </c>
      <c r="Y253" s="151">
        <v>41</v>
      </c>
    </row>
    <row r="254" spans="1:25">
      <c r="B254" s="48">
        <v>163</v>
      </c>
      <c r="C254" s="79" t="s">
        <v>193</v>
      </c>
      <c r="D254" s="151">
        <v>25.7</v>
      </c>
      <c r="E254" s="151">
        <v>230</v>
      </c>
      <c r="F254" s="151">
        <v>75</v>
      </c>
      <c r="G254" s="151">
        <v>6.5</v>
      </c>
      <c r="H254" s="151">
        <v>12.5</v>
      </c>
      <c r="I254" s="151">
        <v>12</v>
      </c>
      <c r="J254" s="151">
        <v>181</v>
      </c>
      <c r="K254" s="151">
        <v>6</v>
      </c>
      <c r="L254" s="151">
        <v>27.8</v>
      </c>
      <c r="M254" s="151">
        <v>2748</v>
      </c>
      <c r="N254" s="151">
        <v>181</v>
      </c>
      <c r="O254" s="151">
        <v>9.17</v>
      </c>
      <c r="P254" s="151">
        <v>2.35</v>
      </c>
      <c r="Q254" s="151">
        <v>239</v>
      </c>
      <c r="R254" s="151">
        <v>34.799999999999997</v>
      </c>
      <c r="S254" s="151">
        <v>278</v>
      </c>
      <c r="T254" s="151">
        <v>63.2</v>
      </c>
      <c r="U254" s="151">
        <v>0.94699999999999995</v>
      </c>
      <c r="V254" s="151">
        <v>17.3</v>
      </c>
      <c r="W254" s="151">
        <v>1.4999999999999999E-2</v>
      </c>
      <c r="X254" s="151">
        <v>11.8</v>
      </c>
      <c r="Y254" s="151">
        <v>32.700000000000003</v>
      </c>
    </row>
    <row r="255" spans="1:25">
      <c r="B255" s="48">
        <v>164</v>
      </c>
      <c r="C255" s="79" t="s">
        <v>194</v>
      </c>
      <c r="D255" s="151">
        <v>29.7</v>
      </c>
      <c r="E255" s="151">
        <v>200</v>
      </c>
      <c r="F255" s="151">
        <v>90</v>
      </c>
      <c r="G255" s="151">
        <v>7</v>
      </c>
      <c r="H255" s="151">
        <v>14</v>
      </c>
      <c r="I255" s="151">
        <v>12</v>
      </c>
      <c r="J255" s="151">
        <v>148</v>
      </c>
      <c r="K255" s="151">
        <v>6.43</v>
      </c>
      <c r="L255" s="151">
        <v>21.1</v>
      </c>
      <c r="M255" s="151">
        <v>2523</v>
      </c>
      <c r="N255" s="151">
        <v>314</v>
      </c>
      <c r="O255" s="151">
        <v>8.16</v>
      </c>
      <c r="P255" s="151">
        <v>2.88</v>
      </c>
      <c r="Q255" s="151">
        <v>252</v>
      </c>
      <c r="R255" s="151">
        <v>53.4</v>
      </c>
      <c r="S255" s="151">
        <v>291</v>
      </c>
      <c r="T255" s="151">
        <v>94.5</v>
      </c>
      <c r="U255" s="151">
        <v>0.95399999999999996</v>
      </c>
      <c r="V255" s="151">
        <v>12.9</v>
      </c>
      <c r="W255" s="151">
        <v>0.02</v>
      </c>
      <c r="X255" s="151">
        <v>18.3</v>
      </c>
      <c r="Y255" s="151">
        <v>37.9</v>
      </c>
    </row>
    <row r="256" spans="1:25">
      <c r="B256" s="48">
        <v>165</v>
      </c>
      <c r="C256" s="79" t="s">
        <v>195</v>
      </c>
      <c r="D256" s="151">
        <v>23.4</v>
      </c>
      <c r="E256" s="151">
        <v>200</v>
      </c>
      <c r="F256" s="151">
        <v>75</v>
      </c>
      <c r="G256" s="151">
        <v>6</v>
      </c>
      <c r="H256" s="151">
        <v>12.5</v>
      </c>
      <c r="I256" s="151">
        <v>12</v>
      </c>
      <c r="J256" s="151">
        <v>151</v>
      </c>
      <c r="K256" s="151">
        <v>6</v>
      </c>
      <c r="L256" s="151">
        <v>25.2</v>
      </c>
      <c r="M256" s="151">
        <v>1963</v>
      </c>
      <c r="N256" s="151">
        <v>170</v>
      </c>
      <c r="O256" s="151">
        <v>8.11</v>
      </c>
      <c r="P256" s="151">
        <v>2.39</v>
      </c>
      <c r="Q256" s="151">
        <v>196</v>
      </c>
      <c r="R256" s="151">
        <v>33.799999999999997</v>
      </c>
      <c r="S256" s="151">
        <v>227</v>
      </c>
      <c r="T256" s="151">
        <v>60.6</v>
      </c>
      <c r="U256" s="151">
        <v>0.95599999999999996</v>
      </c>
      <c r="V256" s="151">
        <v>14.8</v>
      </c>
      <c r="W256" s="151">
        <v>1.0999999999999999E-2</v>
      </c>
      <c r="X256" s="151">
        <v>11.1</v>
      </c>
      <c r="Y256" s="151">
        <v>29.9</v>
      </c>
    </row>
    <row r="257" spans="2:25">
      <c r="B257" s="48">
        <v>166</v>
      </c>
      <c r="C257" s="79" t="s">
        <v>196</v>
      </c>
      <c r="D257" s="151">
        <v>26.1</v>
      </c>
      <c r="E257" s="151">
        <v>180</v>
      </c>
      <c r="F257" s="151">
        <v>90</v>
      </c>
      <c r="G257" s="151">
        <v>6.5</v>
      </c>
      <c r="H257" s="151">
        <v>12.5</v>
      </c>
      <c r="I257" s="151">
        <v>12</v>
      </c>
      <c r="J257" s="151">
        <v>131</v>
      </c>
      <c r="K257" s="151">
        <v>7.2</v>
      </c>
      <c r="L257" s="151">
        <v>20.2</v>
      </c>
      <c r="M257" s="151">
        <v>1817</v>
      </c>
      <c r="N257" s="151">
        <v>277</v>
      </c>
      <c r="O257" s="151">
        <v>7.4</v>
      </c>
      <c r="P257" s="151">
        <v>2.89</v>
      </c>
      <c r="Q257" s="151">
        <v>202</v>
      </c>
      <c r="R257" s="151">
        <v>47.4</v>
      </c>
      <c r="S257" s="151">
        <v>232</v>
      </c>
      <c r="T257" s="151">
        <v>83.5</v>
      </c>
      <c r="U257" s="151">
        <v>0.94899999999999995</v>
      </c>
      <c r="V257" s="151">
        <v>12.8</v>
      </c>
      <c r="W257" s="151">
        <v>1.4E-2</v>
      </c>
      <c r="X257" s="151">
        <v>13.3</v>
      </c>
      <c r="Y257" s="151">
        <v>33.200000000000003</v>
      </c>
    </row>
    <row r="258" spans="2:25">
      <c r="B258" s="48">
        <v>167</v>
      </c>
      <c r="C258" s="79" t="s">
        <v>197</v>
      </c>
      <c r="D258" s="151">
        <v>20.3</v>
      </c>
      <c r="E258" s="151">
        <v>180</v>
      </c>
      <c r="F258" s="151">
        <v>75</v>
      </c>
      <c r="G258" s="151">
        <v>6</v>
      </c>
      <c r="H258" s="151">
        <v>10.5</v>
      </c>
      <c r="I258" s="151">
        <v>12</v>
      </c>
      <c r="J258" s="151">
        <v>135</v>
      </c>
      <c r="K258" s="151">
        <v>7.14</v>
      </c>
      <c r="L258" s="151">
        <v>22.5</v>
      </c>
      <c r="M258" s="151">
        <v>1370</v>
      </c>
      <c r="N258" s="151">
        <v>146</v>
      </c>
      <c r="O258" s="151">
        <v>7.27</v>
      </c>
      <c r="P258" s="151">
        <v>2.38</v>
      </c>
      <c r="Q258" s="151">
        <v>152</v>
      </c>
      <c r="R258" s="151">
        <v>28.8</v>
      </c>
      <c r="S258" s="151">
        <v>176</v>
      </c>
      <c r="T258" s="151">
        <v>51.8</v>
      </c>
      <c r="U258" s="151">
        <v>0.94599999999999995</v>
      </c>
      <c r="V258" s="151">
        <v>15.3</v>
      </c>
      <c r="W258" s="151">
        <v>8.0000000000000002E-3</v>
      </c>
      <c r="X258" s="151">
        <v>7.34</v>
      </c>
      <c r="Y258" s="151">
        <v>25.9</v>
      </c>
    </row>
    <row r="259" spans="2:25">
      <c r="B259" s="48">
        <v>168</v>
      </c>
      <c r="C259" s="79" t="s">
        <v>198</v>
      </c>
      <c r="D259" s="151">
        <v>23.9</v>
      </c>
      <c r="E259" s="151">
        <v>150</v>
      </c>
      <c r="F259" s="151">
        <v>90</v>
      </c>
      <c r="G259" s="151">
        <v>6.5</v>
      </c>
      <c r="H259" s="151">
        <v>12</v>
      </c>
      <c r="I259" s="151">
        <v>12</v>
      </c>
      <c r="J259" s="151">
        <v>102</v>
      </c>
      <c r="K259" s="151">
        <v>7.5</v>
      </c>
      <c r="L259" s="151">
        <v>15.7</v>
      </c>
      <c r="M259" s="151">
        <v>1162</v>
      </c>
      <c r="N259" s="151">
        <v>253</v>
      </c>
      <c r="O259" s="151">
        <v>6.18</v>
      </c>
      <c r="P259" s="151">
        <v>2.89</v>
      </c>
      <c r="Q259" s="151">
        <v>155</v>
      </c>
      <c r="R259" s="151">
        <v>44.4</v>
      </c>
      <c r="S259" s="151">
        <v>179</v>
      </c>
      <c r="T259" s="151">
        <v>76.900000000000006</v>
      </c>
      <c r="U259" s="151">
        <v>0.93600000000000005</v>
      </c>
      <c r="V259" s="151">
        <v>10.8</v>
      </c>
      <c r="W259" s="151">
        <v>8.9999999999999993E-3</v>
      </c>
      <c r="X259" s="151">
        <v>11.8</v>
      </c>
      <c r="Y259" s="151">
        <v>30.4</v>
      </c>
    </row>
    <row r="260" spans="2:25">
      <c r="B260" s="48">
        <v>169</v>
      </c>
      <c r="C260" s="79" t="s">
        <v>199</v>
      </c>
      <c r="D260" s="151">
        <v>17.899999999999999</v>
      </c>
      <c r="E260" s="151">
        <v>150</v>
      </c>
      <c r="F260" s="151">
        <v>75</v>
      </c>
      <c r="G260" s="151">
        <v>5.5</v>
      </c>
      <c r="H260" s="151">
        <v>10</v>
      </c>
      <c r="I260" s="151">
        <v>12</v>
      </c>
      <c r="J260" s="151">
        <v>106</v>
      </c>
      <c r="K260" s="151">
        <v>7.5</v>
      </c>
      <c r="L260" s="151">
        <v>19.3</v>
      </c>
      <c r="M260" s="151">
        <v>861</v>
      </c>
      <c r="N260" s="151">
        <v>131</v>
      </c>
      <c r="O260" s="151">
        <v>6.15</v>
      </c>
      <c r="P260" s="151">
        <v>2.4</v>
      </c>
      <c r="Q260" s="151">
        <v>115</v>
      </c>
      <c r="R260" s="151">
        <v>26.6</v>
      </c>
      <c r="S260" s="151">
        <v>132</v>
      </c>
      <c r="T260" s="151">
        <v>47.2</v>
      </c>
      <c r="U260" s="151">
        <v>0.94599999999999995</v>
      </c>
      <c r="V260" s="151">
        <v>13.1</v>
      </c>
      <c r="W260" s="151">
        <v>5.0000000000000001E-3</v>
      </c>
      <c r="X260" s="151">
        <v>6.1</v>
      </c>
      <c r="Y260" s="151">
        <v>22.8</v>
      </c>
    </row>
    <row r="261" spans="2:25">
      <c r="B261" s="48">
        <v>170</v>
      </c>
      <c r="C261" s="79" t="s">
        <v>200</v>
      </c>
      <c r="D261" s="151">
        <v>14.8</v>
      </c>
      <c r="E261" s="151">
        <v>125</v>
      </c>
      <c r="F261" s="151">
        <v>65</v>
      </c>
      <c r="G261" s="151">
        <v>5.5</v>
      </c>
      <c r="H261" s="151">
        <v>9.5</v>
      </c>
      <c r="I261" s="151">
        <v>12</v>
      </c>
      <c r="J261" s="151">
        <v>82</v>
      </c>
      <c r="K261" s="151">
        <v>6.84</v>
      </c>
      <c r="L261" s="151">
        <v>14.9</v>
      </c>
      <c r="M261" s="151">
        <v>483</v>
      </c>
      <c r="N261" s="151">
        <v>80</v>
      </c>
      <c r="O261" s="151">
        <v>5.07</v>
      </c>
      <c r="P261" s="151">
        <v>2.06</v>
      </c>
      <c r="Q261" s="151">
        <v>77.3</v>
      </c>
      <c r="R261" s="151">
        <v>18.8</v>
      </c>
      <c r="S261" s="151">
        <v>89.9</v>
      </c>
      <c r="T261" s="151">
        <v>33.200000000000003</v>
      </c>
      <c r="U261" s="151">
        <v>0.94199999999999995</v>
      </c>
      <c r="V261" s="151">
        <v>11.1</v>
      </c>
      <c r="W261" s="151">
        <v>2E-3</v>
      </c>
      <c r="X261" s="151">
        <v>4.72</v>
      </c>
      <c r="Y261" s="151">
        <v>18.8</v>
      </c>
    </row>
    <row r="262" spans="2:25">
      <c r="B262" s="48">
        <v>171</v>
      </c>
      <c r="C262" s="79" t="s">
        <v>201</v>
      </c>
      <c r="D262" s="151">
        <v>10.199999999999999</v>
      </c>
      <c r="E262" s="151">
        <v>100</v>
      </c>
      <c r="F262" s="151">
        <v>50</v>
      </c>
      <c r="G262" s="151">
        <v>5</v>
      </c>
      <c r="H262" s="151">
        <v>8.5</v>
      </c>
      <c r="I262" s="151">
        <v>9</v>
      </c>
      <c r="J262" s="151">
        <v>65</v>
      </c>
      <c r="K262" s="151">
        <v>5.88</v>
      </c>
      <c r="L262" s="151">
        <v>13</v>
      </c>
      <c r="M262" s="151">
        <v>208</v>
      </c>
      <c r="N262" s="151">
        <v>32.299999999999997</v>
      </c>
      <c r="O262" s="151">
        <v>4</v>
      </c>
      <c r="P262" s="151">
        <v>1.58</v>
      </c>
      <c r="Q262" s="151">
        <v>41.5</v>
      </c>
      <c r="R262" s="151">
        <v>9.89</v>
      </c>
      <c r="S262" s="151">
        <v>48.9</v>
      </c>
      <c r="T262" s="151">
        <v>17.5</v>
      </c>
      <c r="U262" s="151">
        <v>0.94199999999999995</v>
      </c>
      <c r="V262" s="151">
        <v>10</v>
      </c>
      <c r="W262" s="151">
        <v>0</v>
      </c>
      <c r="X262" s="151">
        <v>2.5299999999999998</v>
      </c>
      <c r="Y262" s="151">
        <v>13</v>
      </c>
    </row>
  </sheetData>
  <sheetProtection password="CD8C" sheet="1" objects="1" scenarios="1" selectLockedCells="1" selectUnlockedCells="1"/>
  <mergeCells count="1">
    <mergeCell ref="B42:B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S57"/>
  <sheetViews>
    <sheetView showGridLines="0" tabSelected="1" zoomScaleNormal="100" workbookViewId="0"/>
  </sheetViews>
  <sheetFormatPr defaultRowHeight="12.75"/>
  <cols>
    <col min="1" max="1" width="2.85546875" style="1" customWidth="1"/>
    <col min="2" max="2" width="8.5703125" style="1" customWidth="1"/>
    <col min="3" max="10" width="9.7109375" style="1" customWidth="1"/>
    <col min="11" max="11" width="8.5703125" style="1" customWidth="1"/>
    <col min="12" max="12" width="2.85546875" style="1" customWidth="1"/>
    <col min="13" max="13" width="6.85546875" style="1" customWidth="1"/>
    <col min="14" max="14" width="7.5703125" style="1" customWidth="1"/>
    <col min="15" max="19" width="9.140625" style="1" hidden="1" customWidth="1"/>
    <col min="20" max="20" width="0" style="1" hidden="1" customWidth="1"/>
    <col min="21" max="16384" width="9.140625" style="1"/>
  </cols>
  <sheetData>
    <row r="1" spans="1:19">
      <c r="A1" s="192"/>
      <c r="B1" s="210" t="s">
        <v>389</v>
      </c>
      <c r="C1" s="210"/>
      <c r="D1" s="210"/>
      <c r="E1" s="210"/>
      <c r="F1" s="210"/>
      <c r="G1" s="210"/>
      <c r="H1" s="210"/>
      <c r="I1" s="210"/>
      <c r="J1" s="210"/>
      <c r="K1" s="211" t="s">
        <v>346</v>
      </c>
      <c r="P1" s="212"/>
      <c r="Q1" s="212"/>
      <c r="R1" s="212"/>
      <c r="S1" s="212"/>
    </row>
    <row r="2" spans="1:19" s="334" customFormat="1" ht="12.75" customHeight="1">
      <c r="B2" s="335"/>
      <c r="C2" s="336"/>
      <c r="D2" s="336"/>
      <c r="E2" s="336"/>
      <c r="F2" s="336"/>
      <c r="G2" s="336"/>
      <c r="H2" s="336"/>
      <c r="I2" s="336"/>
      <c r="J2" s="336"/>
      <c r="K2" s="337"/>
      <c r="P2" s="338"/>
      <c r="Q2" s="338"/>
      <c r="R2" s="338"/>
      <c r="S2" s="338"/>
    </row>
    <row r="3" spans="1:19" s="334" customFormat="1" ht="12.75" customHeight="1">
      <c r="B3" s="339"/>
      <c r="C3" s="340" t="s">
        <v>13</v>
      </c>
      <c r="D3" s="340"/>
      <c r="E3" s="340"/>
      <c r="F3" s="340"/>
      <c r="G3" s="341" t="s">
        <v>14</v>
      </c>
      <c r="H3" s="341"/>
      <c r="I3" s="341"/>
      <c r="J3" s="341"/>
      <c r="K3" s="342"/>
      <c r="P3" s="338"/>
      <c r="Q3" s="338"/>
      <c r="R3" s="338"/>
      <c r="S3" s="338"/>
    </row>
    <row r="4" spans="1:19" s="334" customFormat="1" ht="12.75" customHeight="1">
      <c r="B4" s="339"/>
      <c r="C4" s="343" t="s">
        <v>342</v>
      </c>
      <c r="D4" s="343"/>
      <c r="E4" s="343"/>
      <c r="F4" s="343"/>
      <c r="G4" s="344" t="s">
        <v>343</v>
      </c>
      <c r="H4" s="344"/>
      <c r="I4" s="344"/>
      <c r="J4" s="344"/>
      <c r="K4" s="342"/>
      <c r="P4" s="338"/>
      <c r="Q4" s="338"/>
      <c r="R4" s="338"/>
      <c r="S4" s="338"/>
    </row>
    <row r="5" spans="1:19" s="334" customFormat="1">
      <c r="B5" s="345"/>
      <c r="C5" s="346"/>
      <c r="D5" s="346"/>
      <c r="E5" s="346"/>
      <c r="F5" s="346"/>
      <c r="G5" s="346"/>
      <c r="H5" s="346"/>
      <c r="I5" s="346"/>
      <c r="J5" s="346"/>
      <c r="K5" s="347"/>
      <c r="M5" s="348"/>
      <c r="N5" s="348"/>
      <c r="P5" s="338"/>
      <c r="Q5" s="338"/>
      <c r="R5" s="338"/>
      <c r="S5" s="338"/>
    </row>
    <row r="6" spans="1:19" s="334" customFormat="1"/>
    <row r="7" spans="1:19" s="334" customFormat="1" ht="12.75" customHeight="1">
      <c r="B7" s="335"/>
      <c r="C7" s="349" t="s">
        <v>340</v>
      </c>
      <c r="D7" s="349"/>
      <c r="E7" s="349"/>
      <c r="F7" s="349"/>
      <c r="G7" s="349"/>
      <c r="H7" s="349"/>
      <c r="I7" s="349"/>
      <c r="J7" s="349"/>
      <c r="K7" s="350"/>
    </row>
    <row r="8" spans="1:19" s="334" customFormat="1" ht="12.75" customHeight="1">
      <c r="B8" s="339"/>
      <c r="C8" s="340"/>
      <c r="D8" s="340"/>
      <c r="E8" s="340"/>
      <c r="F8" s="340"/>
      <c r="G8" s="340"/>
      <c r="H8" s="340"/>
      <c r="I8" s="340"/>
      <c r="J8" s="340"/>
      <c r="K8" s="351"/>
    </row>
    <row r="9" spans="1:19" s="334" customFormat="1">
      <c r="B9" s="339"/>
      <c r="C9" s="340"/>
      <c r="D9" s="340"/>
      <c r="E9" s="340"/>
      <c r="F9" s="340"/>
      <c r="G9" s="340"/>
      <c r="H9" s="340"/>
      <c r="I9" s="340"/>
      <c r="J9" s="340"/>
      <c r="K9" s="351"/>
    </row>
    <row r="10" spans="1:19" s="334" customFormat="1">
      <c r="B10" s="352"/>
      <c r="C10" s="353"/>
      <c r="D10" s="353"/>
      <c r="E10" s="353"/>
      <c r="F10" s="353"/>
      <c r="G10" s="353"/>
      <c r="H10" s="353"/>
      <c r="I10" s="353"/>
      <c r="J10" s="353"/>
      <c r="K10" s="354"/>
    </row>
    <row r="11" spans="1:19" s="334" customFormat="1"/>
    <row r="12" spans="1:19" s="334" customFormat="1" ht="9.9499999999999993" customHeight="1">
      <c r="B12" s="335"/>
      <c r="C12" s="336"/>
      <c r="D12" s="336"/>
      <c r="E12" s="336"/>
      <c r="F12" s="336"/>
      <c r="G12" s="336"/>
      <c r="H12" s="336"/>
      <c r="I12" s="336"/>
      <c r="J12" s="336"/>
      <c r="K12" s="337"/>
    </row>
    <row r="13" spans="1:19" s="334" customFormat="1" ht="15" customHeight="1">
      <c r="B13" s="339"/>
      <c r="C13" s="355" t="s">
        <v>384</v>
      </c>
      <c r="D13" s="355"/>
      <c r="E13" s="355"/>
      <c r="F13" s="355"/>
      <c r="G13" s="355"/>
      <c r="H13" s="355"/>
      <c r="I13" s="355"/>
      <c r="J13" s="355"/>
      <c r="K13" s="342"/>
    </row>
    <row r="14" spans="1:19" s="334" customFormat="1" ht="15" customHeight="1">
      <c r="B14" s="339"/>
      <c r="C14" s="355"/>
      <c r="D14" s="355"/>
      <c r="E14" s="355"/>
      <c r="F14" s="355"/>
      <c r="G14" s="355"/>
      <c r="H14" s="355"/>
      <c r="I14" s="355"/>
      <c r="J14" s="355"/>
      <c r="K14" s="342"/>
    </row>
    <row r="15" spans="1:19" s="334" customFormat="1" ht="15" customHeight="1">
      <c r="B15" s="339"/>
      <c r="C15" s="355"/>
      <c r="D15" s="355"/>
      <c r="E15" s="355"/>
      <c r="F15" s="355"/>
      <c r="G15" s="355"/>
      <c r="H15" s="355"/>
      <c r="I15" s="355"/>
      <c r="J15" s="355"/>
      <c r="K15" s="342"/>
    </row>
    <row r="16" spans="1:19" s="334" customFormat="1" ht="15" customHeight="1">
      <c r="B16" s="339"/>
      <c r="C16" s="355"/>
      <c r="D16" s="355"/>
      <c r="E16" s="355"/>
      <c r="F16" s="355"/>
      <c r="G16" s="355"/>
      <c r="H16" s="355"/>
      <c r="I16" s="355"/>
      <c r="J16" s="355"/>
      <c r="K16" s="342"/>
    </row>
    <row r="17" spans="2:11" s="334" customFormat="1" ht="15" customHeight="1">
      <c r="B17" s="339"/>
      <c r="C17" s="355"/>
      <c r="D17" s="355"/>
      <c r="E17" s="355"/>
      <c r="F17" s="355"/>
      <c r="G17" s="355"/>
      <c r="H17" s="355"/>
      <c r="I17" s="355"/>
      <c r="J17" s="355"/>
      <c r="K17" s="342"/>
    </row>
    <row r="18" spans="2:11" s="334" customFormat="1" ht="15" customHeight="1">
      <c r="B18" s="339"/>
      <c r="C18" s="355"/>
      <c r="D18" s="355"/>
      <c r="E18" s="355"/>
      <c r="F18" s="355"/>
      <c r="G18" s="355"/>
      <c r="H18" s="355"/>
      <c r="I18" s="355"/>
      <c r="J18" s="355"/>
      <c r="K18" s="342"/>
    </row>
    <row r="19" spans="2:11" s="334" customFormat="1" ht="15" customHeight="1">
      <c r="B19" s="339"/>
      <c r="C19" s="355"/>
      <c r="D19" s="355"/>
      <c r="E19" s="355"/>
      <c r="F19" s="355"/>
      <c r="G19" s="355"/>
      <c r="H19" s="355"/>
      <c r="I19" s="355"/>
      <c r="J19" s="355"/>
      <c r="K19" s="342"/>
    </row>
    <row r="20" spans="2:11" s="334" customFormat="1" ht="15" customHeight="1">
      <c r="B20" s="339"/>
      <c r="C20" s="355"/>
      <c r="D20" s="355"/>
      <c r="E20" s="355"/>
      <c r="F20" s="355"/>
      <c r="G20" s="355"/>
      <c r="H20" s="355"/>
      <c r="I20" s="355"/>
      <c r="J20" s="355"/>
      <c r="K20" s="342"/>
    </row>
    <row r="21" spans="2:11" s="334" customFormat="1" ht="15" customHeight="1">
      <c r="B21" s="339"/>
      <c r="C21" s="355"/>
      <c r="D21" s="355"/>
      <c r="E21" s="355"/>
      <c r="F21" s="355"/>
      <c r="G21" s="355"/>
      <c r="H21" s="355"/>
      <c r="I21" s="355"/>
      <c r="J21" s="355"/>
      <c r="K21" s="342"/>
    </row>
    <row r="22" spans="2:11" s="334" customFormat="1" ht="15" customHeight="1">
      <c r="B22" s="339"/>
      <c r="C22" s="355"/>
      <c r="D22" s="355"/>
      <c r="E22" s="355"/>
      <c r="F22" s="355"/>
      <c r="G22" s="355"/>
      <c r="H22" s="355"/>
      <c r="I22" s="355"/>
      <c r="J22" s="355"/>
      <c r="K22" s="342"/>
    </row>
    <row r="23" spans="2:11" s="334" customFormat="1" ht="15" customHeight="1">
      <c r="B23" s="339"/>
      <c r="C23" s="355"/>
      <c r="D23" s="355"/>
      <c r="E23" s="355"/>
      <c r="F23" s="355"/>
      <c r="G23" s="355"/>
      <c r="H23" s="355"/>
      <c r="I23" s="355"/>
      <c r="J23" s="355"/>
      <c r="K23" s="342"/>
    </row>
    <row r="24" spans="2:11" s="334" customFormat="1" ht="15" customHeight="1">
      <c r="B24" s="339"/>
      <c r="C24" s="356" t="s">
        <v>385</v>
      </c>
      <c r="D24" s="356"/>
      <c r="E24" s="356"/>
      <c r="F24" s="356"/>
      <c r="G24" s="356"/>
      <c r="H24" s="356"/>
      <c r="I24" s="357"/>
      <c r="J24" s="357"/>
      <c r="K24" s="342"/>
    </row>
    <row r="25" spans="2:11" s="334" customFormat="1" ht="17.100000000000001" customHeight="1">
      <c r="B25" s="339"/>
      <c r="C25" s="358" t="s">
        <v>386</v>
      </c>
      <c r="D25" s="358"/>
      <c r="E25" s="358"/>
      <c r="F25" s="358"/>
      <c r="G25" s="358"/>
      <c r="H25" s="358"/>
      <c r="I25" s="358"/>
      <c r="J25" s="358"/>
      <c r="K25" s="342"/>
    </row>
    <row r="26" spans="2:11" s="334" customFormat="1" ht="17.100000000000001" customHeight="1">
      <c r="B26" s="339"/>
      <c r="C26" s="358"/>
      <c r="D26" s="358"/>
      <c r="E26" s="358"/>
      <c r="F26" s="358"/>
      <c r="G26" s="358"/>
      <c r="H26" s="358"/>
      <c r="I26" s="358"/>
      <c r="J26" s="358"/>
      <c r="K26" s="342"/>
    </row>
    <row r="27" spans="2:11" s="334" customFormat="1" ht="17.100000000000001" customHeight="1">
      <c r="B27" s="339"/>
      <c r="C27" s="358"/>
      <c r="D27" s="358"/>
      <c r="E27" s="358"/>
      <c r="F27" s="358"/>
      <c r="G27" s="358"/>
      <c r="H27" s="358"/>
      <c r="I27" s="358"/>
      <c r="J27" s="358"/>
      <c r="K27" s="342"/>
    </row>
    <row r="28" spans="2:11" s="334" customFormat="1" ht="17.100000000000001" customHeight="1">
      <c r="B28" s="339"/>
      <c r="C28" s="358"/>
      <c r="D28" s="358"/>
      <c r="E28" s="358"/>
      <c r="F28" s="358"/>
      <c r="G28" s="358"/>
      <c r="H28" s="358"/>
      <c r="I28" s="358"/>
      <c r="J28" s="358"/>
      <c r="K28" s="342"/>
    </row>
    <row r="29" spans="2:11" s="334" customFormat="1" ht="9.9499999999999993" customHeight="1">
      <c r="B29" s="345"/>
      <c r="C29" s="346"/>
      <c r="D29" s="346"/>
      <c r="E29" s="346"/>
      <c r="F29" s="346"/>
      <c r="G29" s="346"/>
      <c r="H29" s="346"/>
      <c r="I29" s="346"/>
      <c r="J29" s="346"/>
      <c r="K29" s="347"/>
    </row>
    <row r="31" spans="2:11">
      <c r="B31" s="359"/>
      <c r="C31" s="360"/>
      <c r="D31" s="360"/>
      <c r="E31" s="360"/>
      <c r="F31" s="360"/>
      <c r="G31" s="360"/>
      <c r="H31" s="360"/>
      <c r="I31" s="360"/>
      <c r="J31" s="360"/>
      <c r="K31" s="361"/>
    </row>
    <row r="32" spans="2:11">
      <c r="B32" s="362"/>
      <c r="C32" s="363" t="s">
        <v>387</v>
      </c>
      <c r="D32" s="363"/>
      <c r="E32" s="363"/>
      <c r="F32" s="363"/>
      <c r="G32" s="363"/>
      <c r="H32" s="363"/>
      <c r="I32" s="363"/>
      <c r="J32" s="363"/>
      <c r="K32" s="364"/>
    </row>
    <row r="33" spans="2:11">
      <c r="B33" s="362"/>
      <c r="C33" s="363"/>
      <c r="D33" s="363"/>
      <c r="E33" s="363"/>
      <c r="F33" s="363"/>
      <c r="G33" s="363"/>
      <c r="H33" s="363"/>
      <c r="I33" s="363"/>
      <c r="J33" s="363"/>
      <c r="K33" s="364"/>
    </row>
    <row r="34" spans="2:11">
      <c r="B34" s="362"/>
      <c r="C34" s="363"/>
      <c r="D34" s="363"/>
      <c r="E34" s="363"/>
      <c r="F34" s="363"/>
      <c r="G34" s="363"/>
      <c r="H34" s="363"/>
      <c r="I34" s="363"/>
      <c r="J34" s="363"/>
      <c r="K34" s="364"/>
    </row>
    <row r="35" spans="2:11" ht="12.75" customHeight="1">
      <c r="B35" s="362"/>
      <c r="C35" s="363"/>
      <c r="D35" s="363"/>
      <c r="E35" s="363"/>
      <c r="F35" s="363"/>
      <c r="G35" s="363"/>
      <c r="H35" s="363"/>
      <c r="I35" s="363"/>
      <c r="J35" s="363"/>
      <c r="K35" s="364"/>
    </row>
    <row r="36" spans="2:11">
      <c r="B36" s="365"/>
      <c r="C36" s="366"/>
      <c r="D36" s="366"/>
      <c r="E36" s="366"/>
      <c r="F36" s="366"/>
      <c r="G36" s="366"/>
      <c r="H36" s="366"/>
      <c r="I36" s="366"/>
      <c r="J36" s="366"/>
      <c r="K36" s="367"/>
    </row>
    <row r="37" spans="2:11" s="334" customFormat="1"/>
    <row r="38" spans="2:11">
      <c r="B38" s="26"/>
      <c r="C38" s="27"/>
      <c r="D38" s="27"/>
      <c r="E38" s="27"/>
      <c r="F38" s="27"/>
      <c r="G38" s="27"/>
      <c r="H38" s="27"/>
      <c r="I38" s="27"/>
      <c r="J38" s="27"/>
      <c r="K38" s="28"/>
    </row>
    <row r="39" spans="2:11">
      <c r="B39" s="29"/>
      <c r="C39" s="333" t="s">
        <v>388</v>
      </c>
      <c r="D39" s="333"/>
      <c r="E39" s="333"/>
      <c r="F39" s="333"/>
      <c r="G39" s="333"/>
      <c r="H39" s="333"/>
      <c r="I39" s="333"/>
      <c r="J39" s="333"/>
      <c r="K39" s="30"/>
    </row>
    <row r="40" spans="2:11">
      <c r="B40" s="29"/>
      <c r="C40" s="333"/>
      <c r="D40" s="333"/>
      <c r="E40" s="333"/>
      <c r="F40" s="333"/>
      <c r="G40" s="333"/>
      <c r="H40" s="333"/>
      <c r="I40" s="333"/>
      <c r="J40" s="333"/>
      <c r="K40" s="30"/>
    </row>
    <row r="41" spans="2:11">
      <c r="B41" s="29"/>
      <c r="C41" s="333"/>
      <c r="D41" s="333"/>
      <c r="E41" s="333"/>
      <c r="F41" s="333"/>
      <c r="G41" s="333"/>
      <c r="H41" s="333"/>
      <c r="I41" s="333"/>
      <c r="J41" s="333"/>
      <c r="K41" s="30"/>
    </row>
    <row r="42" spans="2:11">
      <c r="B42" s="29"/>
      <c r="C42" s="333"/>
      <c r="D42" s="333"/>
      <c r="E42" s="333"/>
      <c r="F42" s="333"/>
      <c r="G42" s="333"/>
      <c r="H42" s="333"/>
      <c r="I42" s="333"/>
      <c r="J42" s="333"/>
      <c r="K42" s="30"/>
    </row>
    <row r="43" spans="2:11">
      <c r="B43" s="29"/>
      <c r="C43" s="333"/>
      <c r="D43" s="333"/>
      <c r="E43" s="333"/>
      <c r="F43" s="333"/>
      <c r="G43" s="333"/>
      <c r="H43" s="333"/>
      <c r="I43" s="333"/>
      <c r="J43" s="333"/>
      <c r="K43" s="30"/>
    </row>
    <row r="44" spans="2:11">
      <c r="B44" s="29"/>
      <c r="C44" s="333"/>
      <c r="D44" s="333"/>
      <c r="E44" s="333"/>
      <c r="F44" s="333"/>
      <c r="G44" s="333"/>
      <c r="H44" s="333"/>
      <c r="I44" s="333"/>
      <c r="J44" s="333"/>
      <c r="K44" s="30"/>
    </row>
    <row r="45" spans="2:11">
      <c r="B45" s="29"/>
      <c r="C45" s="333"/>
      <c r="D45" s="333"/>
      <c r="E45" s="333"/>
      <c r="F45" s="333"/>
      <c r="G45" s="333"/>
      <c r="H45" s="333"/>
      <c r="I45" s="333"/>
      <c r="J45" s="333"/>
      <c r="K45" s="30"/>
    </row>
    <row r="46" spans="2:11">
      <c r="B46" s="29"/>
      <c r="C46" s="333"/>
      <c r="D46" s="333"/>
      <c r="E46" s="333"/>
      <c r="F46" s="333"/>
      <c r="G46" s="333"/>
      <c r="H46" s="333"/>
      <c r="I46" s="333"/>
      <c r="J46" s="333"/>
      <c r="K46" s="30"/>
    </row>
    <row r="47" spans="2:11">
      <c r="B47" s="29"/>
      <c r="C47" s="333"/>
      <c r="D47" s="333"/>
      <c r="E47" s="333"/>
      <c r="F47" s="333"/>
      <c r="G47" s="333"/>
      <c r="H47" s="333"/>
      <c r="I47" s="333"/>
      <c r="J47" s="333"/>
      <c r="K47" s="30"/>
    </row>
    <row r="48" spans="2:11">
      <c r="B48" s="29"/>
      <c r="C48" s="333"/>
      <c r="D48" s="333"/>
      <c r="E48" s="333"/>
      <c r="F48" s="333"/>
      <c r="G48" s="333"/>
      <c r="H48" s="333"/>
      <c r="I48" s="333"/>
      <c r="J48" s="333"/>
      <c r="K48" s="30"/>
    </row>
    <row r="49" spans="2:11">
      <c r="B49" s="29"/>
      <c r="C49" s="333"/>
      <c r="D49" s="333"/>
      <c r="E49" s="333"/>
      <c r="F49" s="333"/>
      <c r="G49" s="333"/>
      <c r="H49" s="333"/>
      <c r="I49" s="333"/>
      <c r="J49" s="333"/>
      <c r="K49" s="30"/>
    </row>
    <row r="50" spans="2:11">
      <c r="B50" s="29"/>
      <c r="C50" s="333"/>
      <c r="D50" s="333"/>
      <c r="E50" s="333"/>
      <c r="F50" s="333"/>
      <c r="G50" s="333"/>
      <c r="H50" s="333"/>
      <c r="I50" s="333"/>
      <c r="J50" s="333"/>
      <c r="K50" s="30"/>
    </row>
    <row r="51" spans="2:11">
      <c r="B51" s="29"/>
      <c r="C51" s="333"/>
      <c r="D51" s="333"/>
      <c r="E51" s="333"/>
      <c r="F51" s="333"/>
      <c r="G51" s="333"/>
      <c r="H51" s="333"/>
      <c r="I51" s="333"/>
      <c r="J51" s="333"/>
      <c r="K51" s="30"/>
    </row>
    <row r="52" spans="2:11">
      <c r="B52" s="31"/>
      <c r="C52" s="32"/>
      <c r="D52" s="32"/>
      <c r="E52" s="32"/>
      <c r="F52" s="32"/>
      <c r="G52" s="32"/>
      <c r="H52" s="32"/>
      <c r="I52" s="32"/>
      <c r="J52" s="32"/>
      <c r="K52" s="33"/>
    </row>
    <row r="57" spans="2:11">
      <c r="D57" s="36"/>
    </row>
  </sheetData>
  <sheetProtection password="CD8C" sheet="1" objects="1" scenarios="1" selectLockedCells="1"/>
  <mergeCells count="11">
    <mergeCell ref="C7:J10"/>
    <mergeCell ref="C13:J23"/>
    <mergeCell ref="C24:H24"/>
    <mergeCell ref="C25:J28"/>
    <mergeCell ref="C32:J35"/>
    <mergeCell ref="C3:F3"/>
    <mergeCell ref="G3:J3"/>
    <mergeCell ref="C4:F4"/>
    <mergeCell ref="G4:J4"/>
    <mergeCell ref="M5:N5"/>
    <mergeCell ref="C39:J51"/>
  </mergeCells>
  <phoneticPr fontId="6" type="noConversion"/>
  <hyperlinks>
    <hyperlink ref="C4" r:id="rId1" xr:uid="{E439B8F8-D8B0-4896-AB18-FEE5C38D4C3F}"/>
    <hyperlink ref="G4" r:id="rId2" xr:uid="{A95F4B0C-FB1B-4247-8546-196C30C4E7BA}"/>
    <hyperlink ref="C24:H24" r:id="rId3" display="www.yourspreadsheets.co.uk/checkout.html" xr:uid="{85D95F8F-FACF-4F00-BEE0-C5E997CA0097}"/>
  </hyperlinks>
  <pageMargins left="0.75" right="0.75" top="1" bottom="1" header="0.5" footer="0.5"/>
  <pageSetup paperSize="9" scale="91"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47</vt:i4>
      </vt:variant>
    </vt:vector>
  </HeadingPairs>
  <TitlesOfParts>
    <vt:vector size="50" baseType="lpstr">
      <vt:lpstr>steel</vt:lpstr>
      <vt:lpstr>calculations</vt:lpstr>
      <vt:lpstr>from author</vt:lpstr>
      <vt:lpstr>_Le1</vt:lpstr>
      <vt:lpstr>A</vt:lpstr>
      <vt:lpstr>B</vt:lpstr>
      <vt:lpstr>D</vt:lpstr>
      <vt:lpstr>de</vt:lpstr>
      <vt:lpstr>E</vt:lpstr>
      <vt:lpstr>fy</vt:lpstr>
      <vt:lpstr>H</vt:lpstr>
      <vt:lpstr>Ix</vt:lpstr>
      <vt:lpstr>Iy</vt:lpstr>
      <vt:lpstr>J</vt:lpstr>
      <vt:lpstr>Length1</vt:lpstr>
      <vt:lpstr>LePUDL1</vt:lpstr>
      <vt:lpstr>LePUDL2</vt:lpstr>
      <vt:lpstr>mLT</vt:lpstr>
      <vt:lpstr>PLa1d</vt:lpstr>
      <vt:lpstr>PLa1l</vt:lpstr>
      <vt:lpstr>PLb1d</vt:lpstr>
      <vt:lpstr>PLb1l</vt:lpstr>
      <vt:lpstr>PosPLa1</vt:lpstr>
      <vt:lpstr>PosPLb1</vt:lpstr>
      <vt:lpstr>PosPUDL1</vt:lpstr>
      <vt:lpstr>PosPUDL2</vt:lpstr>
      <vt:lpstr>steel!Print_Area</vt:lpstr>
      <vt:lpstr>PUDL1d</vt:lpstr>
      <vt:lpstr>PUDL1l</vt:lpstr>
      <vt:lpstr>PUDL2d</vt:lpstr>
      <vt:lpstr>PUDL2l</vt:lpstr>
      <vt:lpstr>ra</vt:lpstr>
      <vt:lpstr>RL1d</vt:lpstr>
      <vt:lpstr>RL1l</vt:lpstr>
      <vt:lpstr>RR1d</vt:lpstr>
      <vt:lpstr>RR1l</vt:lpstr>
      <vt:lpstr>rx</vt:lpstr>
      <vt:lpstr>ry</vt:lpstr>
      <vt:lpstr>Sx</vt:lpstr>
      <vt:lpstr>Sy</vt:lpstr>
      <vt:lpstr>Tf</vt:lpstr>
      <vt:lpstr>tw</vt:lpstr>
      <vt:lpstr>u</vt:lpstr>
      <vt:lpstr>UDL1d</vt:lpstr>
      <vt:lpstr>UDL1l</vt:lpstr>
      <vt:lpstr>v</vt:lpstr>
      <vt:lpstr>w</vt:lpstr>
      <vt:lpstr>x</vt:lpstr>
      <vt:lpstr>Zx</vt:lpstr>
      <vt:lpstr>Zy</vt:lpstr>
    </vt:vector>
  </TitlesOfParts>
  <Company>Jenkins and Potter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Continuous beam analysis</dc:title>
  <dc:creator>Damian Janicki</dc:creator>
  <cp:lastModifiedBy>ziom</cp:lastModifiedBy>
  <cp:revision>1</cp:revision>
  <cp:lastPrinted>2019-08-26T11:02:58Z</cp:lastPrinted>
  <dcterms:created xsi:type="dcterms:W3CDTF">1997-02-26T13:46:56Z</dcterms:created>
  <dcterms:modified xsi:type="dcterms:W3CDTF">2019-08-26T11:16:12Z</dcterms:modified>
</cp:coreProperties>
</file>